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40" windowWidth="15480" windowHeight="11640"/>
  </bookViews>
  <sheets>
    <sheet name="G.1" sheetId="5" r:id="rId1"/>
    <sheet name="G.2" sheetId="6" r:id="rId2"/>
  </sheets>
  <definedNames>
    <definedName name="_xlnm.Print_Area" localSheetId="0">G.1!$A$1:$U$56</definedName>
  </definedNames>
  <calcPr calcId="114210"/>
</workbook>
</file>

<file path=xl/calcChain.xml><?xml version="1.0" encoding="utf-8"?>
<calcChain xmlns="http://schemas.openxmlformats.org/spreadsheetml/2006/main">
  <c r="S25" i="5"/>
  <c r="C9" i="6"/>
  <c r="R14" i="5"/>
  <c r="R13"/>
  <c r="R22"/>
  <c r="R29"/>
  <c r="R25"/>
  <c r="R24"/>
  <c r="R19"/>
  <c r="S42"/>
  <c r="J58" i="6"/>
  <c r="S35" i="5"/>
  <c r="J42" i="6"/>
  <c r="C27"/>
  <c r="B27" i="5"/>
  <c r="B24" i="6"/>
  <c r="B57"/>
  <c r="B26" i="5"/>
  <c r="C10" i="6"/>
  <c r="R35" i="5"/>
  <c r="C26" i="6"/>
  <c r="C59"/>
  <c r="C57"/>
  <c r="C43"/>
  <c r="C41"/>
  <c r="B14" i="5"/>
  <c r="H58" i="6"/>
  <c r="H59"/>
  <c r="S27" i="5"/>
  <c r="S37"/>
  <c r="S26"/>
  <c r="S36"/>
  <c r="H42" i="6"/>
  <c r="B23" i="5"/>
  <c r="I58" i="6"/>
  <c r="K58"/>
  <c r="H60"/>
  <c r="I42"/>
  <c r="K42"/>
  <c r="J43"/>
  <c r="H43"/>
  <c r="H44"/>
  <c r="H45"/>
  <c r="H46"/>
  <c r="H47"/>
  <c r="H48"/>
  <c r="H49"/>
  <c r="H50"/>
  <c r="S24" i="5"/>
  <c r="S34"/>
  <c r="S23"/>
  <c r="S22"/>
  <c r="S33"/>
  <c r="H51" i="6"/>
  <c r="H61"/>
  <c r="J59"/>
  <c r="S40" i="5"/>
  <c r="S29"/>
  <c r="J25" i="6"/>
  <c r="H25"/>
  <c r="I59"/>
  <c r="H62"/>
  <c r="C24"/>
  <c r="H26"/>
  <c r="I25"/>
  <c r="H63"/>
  <c r="H64"/>
  <c r="H65"/>
  <c r="H66"/>
  <c r="K59"/>
  <c r="I43"/>
  <c r="R27" i="5"/>
  <c r="S30"/>
  <c r="K25" i="6"/>
  <c r="J26"/>
  <c r="H27"/>
  <c r="H67"/>
  <c r="J60"/>
  <c r="R37" i="5"/>
  <c r="K43" i="6"/>
  <c r="J44"/>
  <c r="H28"/>
  <c r="I60"/>
  <c r="I26"/>
  <c r="H29"/>
  <c r="K60"/>
  <c r="I44"/>
  <c r="K26"/>
  <c r="J27"/>
  <c r="H30"/>
  <c r="J61"/>
  <c r="K44"/>
  <c r="J45"/>
  <c r="I27"/>
  <c r="H31"/>
  <c r="I61"/>
  <c r="K27"/>
  <c r="J28"/>
  <c r="H32"/>
  <c r="K61"/>
  <c r="J62"/>
  <c r="I45"/>
  <c r="H33"/>
  <c r="I62"/>
  <c r="K45"/>
  <c r="J46"/>
  <c r="I28"/>
  <c r="K62"/>
  <c r="J63"/>
  <c r="H34"/>
  <c r="K28"/>
  <c r="J29"/>
  <c r="I63"/>
  <c r="K63"/>
  <c r="J64"/>
  <c r="I64"/>
  <c r="K64"/>
  <c r="J65"/>
  <c r="I65"/>
  <c r="K65"/>
  <c r="J66"/>
  <c r="I66"/>
  <c r="K66"/>
  <c r="I46"/>
  <c r="I29"/>
  <c r="B8"/>
  <c r="B41"/>
  <c r="K46"/>
  <c r="J47"/>
  <c r="K29"/>
  <c r="J30"/>
  <c r="J67"/>
  <c r="R42" i="5"/>
  <c r="B28"/>
  <c r="B39"/>
  <c r="B32"/>
  <c r="P30"/>
  <c r="I67" i="6"/>
  <c r="I47"/>
  <c r="I30"/>
  <c r="K47"/>
  <c r="J48"/>
  <c r="K30"/>
  <c r="J31"/>
  <c r="I48"/>
  <c r="K48"/>
  <c r="J49"/>
  <c r="I31"/>
  <c r="K31"/>
  <c r="S28" i="5"/>
  <c r="I49" i="6"/>
  <c r="K49"/>
  <c r="J50"/>
  <c r="J32"/>
  <c r="I32"/>
  <c r="K32"/>
  <c r="J33"/>
  <c r="R23" i="5"/>
  <c r="I50" i="6"/>
  <c r="K50"/>
  <c r="R33" i="5"/>
  <c r="R34"/>
  <c r="I33" i="6"/>
  <c r="K33"/>
  <c r="J34"/>
  <c r="I34"/>
  <c r="J9"/>
  <c r="H9"/>
  <c r="C8"/>
  <c r="R26" i="5"/>
  <c r="R30"/>
  <c r="R36"/>
  <c r="I9" i="6"/>
  <c r="H10"/>
  <c r="J51"/>
  <c r="R40" i="5"/>
  <c r="S44"/>
  <c r="T44"/>
  <c r="H11" i="6"/>
  <c r="K9"/>
  <c r="I51"/>
  <c r="J10"/>
  <c r="H12"/>
  <c r="H13"/>
  <c r="I10"/>
  <c r="H14"/>
  <c r="K10"/>
  <c r="H15"/>
  <c r="J11"/>
  <c r="I11"/>
  <c r="H16"/>
  <c r="H17"/>
  <c r="K11"/>
  <c r="J12"/>
  <c r="I12"/>
  <c r="K12"/>
  <c r="J13"/>
  <c r="I13"/>
  <c r="K13"/>
  <c r="J14"/>
  <c r="I14"/>
  <c r="K14"/>
  <c r="J15"/>
  <c r="I15"/>
  <c r="K15"/>
  <c r="H18"/>
  <c r="J16"/>
  <c r="I16"/>
  <c r="K16"/>
  <c r="J17"/>
  <c r="I17"/>
  <c r="K17"/>
  <c r="J18"/>
  <c r="I18"/>
</calcChain>
</file>

<file path=xl/sharedStrings.xml><?xml version="1.0" encoding="utf-8"?>
<sst xmlns="http://schemas.openxmlformats.org/spreadsheetml/2006/main" count="162" uniqueCount="103">
  <si>
    <t>G</t>
  </si>
  <si>
    <t>Numero punti luce della Pubblica Illuminazione iniziali</t>
  </si>
  <si>
    <t>CONSUMI  ENERGETICI ANNUALI INIZIALI</t>
  </si>
  <si>
    <t>PREZZI</t>
  </si>
  <si>
    <t>n.</t>
  </si>
  <si>
    <t>kWh/anno</t>
  </si>
  <si>
    <t>UdM</t>
  </si>
  <si>
    <t>Valore a Base di Gara</t>
  </si>
  <si>
    <t>Rif.</t>
  </si>
  <si>
    <t>Descrizione</t>
  </si>
  <si>
    <t>Prezzo energia elettrica iniziale</t>
  </si>
  <si>
    <t>€/kWh</t>
  </si>
  <si>
    <t>€/punto luce</t>
  </si>
  <si>
    <t>€/anno</t>
  </si>
  <si>
    <t>Note per il calcolo</t>
  </si>
  <si>
    <t>QUOTE ANNUALI PER COMPONENTI PRINCIPALI</t>
  </si>
  <si>
    <t>Ammontare complessivo del corrispettivo per energia, manutenzione, interventi iniziali</t>
  </si>
  <si>
    <t>€</t>
  </si>
  <si>
    <t>QUANTITA' DI GARA</t>
  </si>
  <si>
    <t>Numero anni di Gara</t>
  </si>
  <si>
    <t>anni</t>
  </si>
  <si>
    <t>Valore offerto</t>
  </si>
  <si>
    <t>Valore offerto (in lettere)</t>
  </si>
  <si>
    <t>Sottoscrizione valore offerto</t>
  </si>
  <si>
    <r>
      <t xml:space="preserve">N </t>
    </r>
    <r>
      <rPr>
        <vertAlign val="subscript"/>
        <sz val="11"/>
        <color indexed="8"/>
        <rFont val="Calibri"/>
        <family val="2"/>
      </rPr>
      <t>pl (i)</t>
    </r>
  </si>
  <si>
    <r>
      <t>kWh</t>
    </r>
    <r>
      <rPr>
        <vertAlign val="subscript"/>
        <sz val="11"/>
        <color indexed="8"/>
        <rFont val="Calibri"/>
        <family val="2"/>
      </rPr>
      <t xml:space="preserve"> (i)</t>
    </r>
  </si>
  <si>
    <r>
      <t>P</t>
    </r>
    <r>
      <rPr>
        <vertAlign val="subscript"/>
        <sz val="11"/>
        <color indexed="8"/>
        <rFont val="Calibri"/>
        <family val="2"/>
      </rPr>
      <t>kWh (i)</t>
    </r>
  </si>
  <si>
    <r>
      <t>P</t>
    </r>
    <r>
      <rPr>
        <vertAlign val="subscript"/>
        <sz val="11"/>
        <color indexed="8"/>
        <rFont val="Calibri"/>
        <family val="2"/>
      </rPr>
      <t>pl (i)</t>
    </r>
  </si>
  <si>
    <r>
      <t xml:space="preserve">Q </t>
    </r>
    <r>
      <rPr>
        <vertAlign val="subscript"/>
        <sz val="11"/>
        <color indexed="8"/>
        <rFont val="Calibri"/>
        <family val="2"/>
      </rPr>
      <t>en (i)</t>
    </r>
  </si>
  <si>
    <t>Q</t>
  </si>
  <si>
    <t>S</t>
  </si>
  <si>
    <r>
      <t>Q</t>
    </r>
    <r>
      <rPr>
        <vertAlign val="subscript"/>
        <sz val="11"/>
        <color indexed="8"/>
        <rFont val="Calibri"/>
        <family val="2"/>
      </rPr>
      <t xml:space="preserve"> en (i)</t>
    </r>
    <r>
      <rPr>
        <sz val="11"/>
        <color theme="1"/>
        <rFont val="Calibri"/>
        <family val="2"/>
      </rPr>
      <t xml:space="preserve"> = kWh</t>
    </r>
    <r>
      <rPr>
        <vertAlign val="subscript"/>
        <sz val="11"/>
        <color indexed="8"/>
        <rFont val="Calibri"/>
        <family val="2"/>
      </rPr>
      <t xml:space="preserve"> (i)</t>
    </r>
    <r>
      <rPr>
        <sz val="11"/>
        <color theme="1"/>
        <rFont val="Calibri"/>
        <family val="2"/>
      </rPr>
      <t xml:space="preserve"> x P</t>
    </r>
    <r>
      <rPr>
        <vertAlign val="subscript"/>
        <sz val="11"/>
        <color indexed="8"/>
        <rFont val="Calibri"/>
        <family val="2"/>
      </rPr>
      <t>kWh (i)</t>
    </r>
  </si>
  <si>
    <r>
      <t>kWh</t>
    </r>
    <r>
      <rPr>
        <vertAlign val="subscript"/>
        <sz val="11"/>
        <color indexed="8"/>
        <rFont val="Calibri"/>
        <family val="2"/>
      </rPr>
      <t xml:space="preserve"> 1°anno</t>
    </r>
  </si>
  <si>
    <r>
      <t xml:space="preserve">Q </t>
    </r>
    <r>
      <rPr>
        <vertAlign val="subscript"/>
        <sz val="11"/>
        <color indexed="8"/>
        <rFont val="Calibri"/>
        <family val="2"/>
      </rPr>
      <t>en 1°anno</t>
    </r>
  </si>
  <si>
    <t>TOTALE annuo (solo 1°anno)</t>
  </si>
  <si>
    <t>1)</t>
  </si>
  <si>
    <r>
      <t>1) = Q</t>
    </r>
    <r>
      <rPr>
        <vertAlign val="subscript"/>
        <sz val="11"/>
        <color indexed="8"/>
        <rFont val="Calibri"/>
        <family val="2"/>
      </rPr>
      <t>en 1°anno</t>
    </r>
    <r>
      <rPr>
        <sz val="11"/>
        <color theme="1"/>
        <rFont val="Calibri"/>
        <family val="2"/>
      </rPr>
      <t xml:space="preserve"> + (G-1) x Q</t>
    </r>
    <r>
      <rPr>
        <vertAlign val="subscript"/>
        <sz val="11"/>
        <color indexed="8"/>
        <rFont val="Calibri"/>
        <family val="2"/>
      </rPr>
      <t>en (i)</t>
    </r>
  </si>
  <si>
    <r>
      <t>Q = (Q</t>
    </r>
    <r>
      <rPr>
        <vertAlign val="subscript"/>
        <sz val="11"/>
        <color indexed="8"/>
        <rFont val="Calibri"/>
        <family val="2"/>
      </rPr>
      <t>en 1°anno</t>
    </r>
    <r>
      <rPr>
        <sz val="11"/>
        <color theme="1"/>
        <rFont val="Calibri"/>
        <family val="2"/>
      </rPr>
      <t xml:space="preserve"> + Q</t>
    </r>
    <r>
      <rPr>
        <vertAlign val="subscript"/>
        <sz val="11"/>
        <color indexed="8"/>
        <rFont val="Calibri"/>
        <family val="2"/>
      </rPr>
      <t>man (i)</t>
    </r>
    <r>
      <rPr>
        <sz val="11"/>
        <color theme="1"/>
        <rFont val="Calibri"/>
        <family val="2"/>
      </rPr>
      <t>)+ (G-1) x (Q</t>
    </r>
    <r>
      <rPr>
        <vertAlign val="subscript"/>
        <sz val="11"/>
        <color indexed="8"/>
        <rFont val="Calibri"/>
        <family val="2"/>
      </rPr>
      <t>en (i)</t>
    </r>
    <r>
      <rPr>
        <sz val="11"/>
        <color theme="1"/>
        <rFont val="Calibri"/>
        <family val="2"/>
      </rPr>
      <t xml:space="preserve"> + Q</t>
    </r>
    <r>
      <rPr>
        <vertAlign val="subscript"/>
        <sz val="11"/>
        <color indexed="8"/>
        <rFont val="Calibri"/>
        <family val="2"/>
      </rPr>
      <t>man (i)</t>
    </r>
    <r>
      <rPr>
        <sz val="11"/>
        <color theme="1"/>
        <rFont val="Calibri"/>
        <family val="2"/>
      </rPr>
      <t xml:space="preserve"> + Q</t>
    </r>
    <r>
      <rPr>
        <vertAlign val="subscript"/>
        <sz val="11"/>
        <color indexed="8"/>
        <rFont val="Calibri"/>
        <family val="2"/>
      </rPr>
      <t>riqu</t>
    </r>
    <r>
      <rPr>
        <sz val="11"/>
        <color theme="1"/>
        <rFont val="Calibri"/>
        <family val="2"/>
      </rPr>
      <t>)</t>
    </r>
  </si>
  <si>
    <t>Oneri della Sicurezza (non soggetti a ribasso d'Asta)</t>
  </si>
  <si>
    <t>S = (G-1) x s</t>
  </si>
  <si>
    <t>s</t>
  </si>
  <si>
    <t>R</t>
  </si>
  <si>
    <t>Corrispondente ribasso sulla base di Gara (%)</t>
  </si>
  <si>
    <t>Rate</t>
  </si>
  <si>
    <t>Tasso</t>
  </si>
  <si>
    <t>Anno contratto</t>
  </si>
  <si>
    <t>Quota Capitale</t>
  </si>
  <si>
    <t>Quota Interessi</t>
  </si>
  <si>
    <t>ALLEGATO G.1) MODULO PER L'OFFERTA ECONOMICA</t>
  </si>
  <si>
    <r>
      <t>ALLEGATO G.2) COMPOSIZIONE DELLA QUOTA INTERVENTI INIZIALI DI RIQUALIFICAZIONE E INTERVENTI FACOLTATIVI PROPOSTI (Q</t>
    </r>
    <r>
      <rPr>
        <b/>
        <vertAlign val="subscript"/>
        <sz val="11"/>
        <color indexed="8"/>
        <rFont val="Calibri"/>
        <family val="2"/>
      </rPr>
      <t>riqu</t>
    </r>
    <r>
      <rPr>
        <b/>
        <sz val="11"/>
        <color indexed="8"/>
        <rFont val="Calibri"/>
        <family val="2"/>
      </rPr>
      <t>)</t>
    </r>
  </si>
  <si>
    <t>Importo complessivo interventi iniziali (rif. art.4 del CSA), senza Oneri della Sicurezza</t>
  </si>
  <si>
    <r>
      <t>Q</t>
    </r>
    <r>
      <rPr>
        <b/>
        <vertAlign val="subscript"/>
        <sz val="11"/>
        <rFont val="Calibri"/>
        <family val="2"/>
      </rPr>
      <t>riqu</t>
    </r>
  </si>
  <si>
    <t>RAGIONE SOCIALE, DOMICILIO, CF/ PARTITA IVA</t>
  </si>
  <si>
    <t>DATA</t>
  </si>
  <si>
    <t>FIRMA DEL LEGALE/I RAPPRESENTANTE/I</t>
  </si>
  <si>
    <r>
      <t>Importo Residuo Q</t>
    </r>
    <r>
      <rPr>
        <b/>
        <vertAlign val="subscript"/>
        <sz val="11"/>
        <rFont val="Calibri"/>
        <family val="2"/>
      </rPr>
      <t>riqu</t>
    </r>
    <r>
      <rPr>
        <b/>
        <sz val="11"/>
        <rFont val="Calibri"/>
        <family val="2"/>
      </rPr>
      <t xml:space="preserve"> da riconoscere in caso di recesso (rif. art.12 del CSA)</t>
    </r>
  </si>
  <si>
    <t>(Art.4, 12 del CSA)</t>
  </si>
  <si>
    <t>Quota annua iniziale servizio di fornitura energia elettrica (1°anno)</t>
  </si>
  <si>
    <t>Consumo annuo impianti Illuminazione Pubblica e Semaforici (1° anno)</t>
  </si>
  <si>
    <t>Prezzo servizio gestione/ manutenzione iniziale IP</t>
  </si>
  <si>
    <t>Prezzo servizio gestione/ manutenzione iniziale impianti Semaforici</t>
  </si>
  <si>
    <r>
      <t>P</t>
    </r>
    <r>
      <rPr>
        <vertAlign val="subscript"/>
        <sz val="11"/>
        <color indexed="8"/>
        <rFont val="Calibri"/>
        <family val="2"/>
      </rPr>
      <t>S (i)</t>
    </r>
  </si>
  <si>
    <r>
      <t>Q</t>
    </r>
    <r>
      <rPr>
        <vertAlign val="subscript"/>
        <sz val="11"/>
        <color indexed="8"/>
        <rFont val="Calibri"/>
        <family val="2"/>
      </rPr>
      <t>man, IP (i)</t>
    </r>
  </si>
  <si>
    <r>
      <t>Q</t>
    </r>
    <r>
      <rPr>
        <vertAlign val="subscript"/>
        <sz val="11"/>
        <color indexed="8"/>
        <rFont val="Calibri"/>
        <family val="2"/>
      </rPr>
      <t>man, S (i)</t>
    </r>
  </si>
  <si>
    <t>Quota annua servizio gestione/ manutenzione IP</t>
  </si>
  <si>
    <t>Quota annua servizio gestione/ manutenzione impianti Semaforici</t>
  </si>
  <si>
    <r>
      <t>Q</t>
    </r>
    <r>
      <rPr>
        <vertAlign val="subscript"/>
        <sz val="11"/>
        <color indexed="8"/>
        <rFont val="Calibri"/>
        <family val="2"/>
      </rPr>
      <t xml:space="preserve"> man, IP (i)</t>
    </r>
    <r>
      <rPr>
        <sz val="11"/>
        <color theme="1"/>
        <rFont val="Calibri"/>
        <family val="2"/>
      </rPr>
      <t xml:space="preserve"> = N</t>
    </r>
    <r>
      <rPr>
        <vertAlign val="subscript"/>
        <sz val="11"/>
        <color indexed="8"/>
        <rFont val="Calibri"/>
        <family val="2"/>
      </rPr>
      <t>pl (i)</t>
    </r>
    <r>
      <rPr>
        <sz val="11"/>
        <color theme="1"/>
        <rFont val="Calibri"/>
        <family val="2"/>
      </rPr>
      <t xml:space="preserve"> x P</t>
    </r>
    <r>
      <rPr>
        <vertAlign val="subscript"/>
        <sz val="11"/>
        <color indexed="8"/>
        <rFont val="Calibri"/>
        <family val="2"/>
      </rPr>
      <t>pl (i)</t>
    </r>
  </si>
  <si>
    <r>
      <t>Q</t>
    </r>
    <r>
      <rPr>
        <vertAlign val="subscript"/>
        <sz val="11"/>
        <color indexed="8"/>
        <rFont val="Calibri"/>
        <family val="2"/>
      </rPr>
      <t xml:space="preserve"> man, S (i)</t>
    </r>
    <r>
      <rPr>
        <sz val="11"/>
        <color theme="1"/>
        <rFont val="Calibri"/>
        <family val="2"/>
      </rPr>
      <t xml:space="preserve"> = N</t>
    </r>
    <r>
      <rPr>
        <vertAlign val="subscript"/>
        <sz val="11"/>
        <color indexed="8"/>
        <rFont val="Calibri"/>
        <family val="2"/>
      </rPr>
      <t>S (i)</t>
    </r>
    <r>
      <rPr>
        <sz val="11"/>
        <color theme="1"/>
        <rFont val="Calibri"/>
        <family val="2"/>
      </rPr>
      <t xml:space="preserve"> x P</t>
    </r>
    <r>
      <rPr>
        <vertAlign val="subscript"/>
        <sz val="11"/>
        <color indexed="8"/>
        <rFont val="Calibri"/>
        <family val="2"/>
      </rPr>
      <t>S (i)</t>
    </r>
  </si>
  <si>
    <t>Numero impianti Semaforici iniziali</t>
  </si>
  <si>
    <r>
      <t xml:space="preserve">N </t>
    </r>
    <r>
      <rPr>
        <vertAlign val="subscript"/>
        <sz val="11"/>
        <color indexed="8"/>
        <rFont val="Calibri"/>
        <family val="2"/>
      </rPr>
      <t>S (i)</t>
    </r>
  </si>
  <si>
    <r>
      <t>Q</t>
    </r>
    <r>
      <rPr>
        <vertAlign val="subscript"/>
        <sz val="11"/>
        <color indexed="8"/>
        <rFont val="Calibri"/>
        <family val="2"/>
      </rPr>
      <t>riqu, IP</t>
    </r>
  </si>
  <si>
    <r>
      <t>Q</t>
    </r>
    <r>
      <rPr>
        <vertAlign val="subscript"/>
        <sz val="11"/>
        <color indexed="8"/>
        <rFont val="Calibri"/>
        <family val="2"/>
      </rPr>
      <t>riqu, S</t>
    </r>
  </si>
  <si>
    <t>Quota per costi di energia impianti Illuminazione Pubblica e Semaforici</t>
  </si>
  <si>
    <t>2.1)</t>
  </si>
  <si>
    <t>2.2)</t>
  </si>
  <si>
    <t>Quota per costi manutenzione Illuminazione Pubblica</t>
  </si>
  <si>
    <r>
      <t>2.1) = G x Q</t>
    </r>
    <r>
      <rPr>
        <vertAlign val="subscript"/>
        <sz val="11"/>
        <color indexed="8"/>
        <rFont val="Calibri"/>
        <family val="2"/>
      </rPr>
      <t>man, IP (i)</t>
    </r>
  </si>
  <si>
    <r>
      <t>2.1) = G x Q</t>
    </r>
    <r>
      <rPr>
        <vertAlign val="subscript"/>
        <sz val="11"/>
        <color indexed="8"/>
        <rFont val="Calibri"/>
        <family val="2"/>
      </rPr>
      <t>man, S (i)</t>
    </r>
  </si>
  <si>
    <t>Quota per costi manutenzione impianti Semaforici</t>
  </si>
  <si>
    <t>3.1)</t>
  </si>
  <si>
    <t>3.2)</t>
  </si>
  <si>
    <t>Corrispettivo totale per interventi iniziali IP</t>
  </si>
  <si>
    <t>Corrispettivo totale per interventi iniziali impianti Semaforici</t>
  </si>
  <si>
    <r>
      <t>3.1) = (G-1) x Q</t>
    </r>
    <r>
      <rPr>
        <vertAlign val="subscript"/>
        <sz val="11"/>
        <color indexed="8"/>
        <rFont val="Calibri"/>
        <family val="2"/>
      </rPr>
      <t>riqu, IP</t>
    </r>
  </si>
  <si>
    <r>
      <t>3.1) = (G-1) x Q</t>
    </r>
    <r>
      <rPr>
        <vertAlign val="subscript"/>
        <sz val="11"/>
        <color indexed="8"/>
        <rFont val="Calibri"/>
        <family val="2"/>
      </rPr>
      <t>riqu, S</t>
    </r>
  </si>
  <si>
    <t>PIANO ECONOMICO A BASE DI GARA - PUBBLICA ILLUMINAZIONE</t>
  </si>
  <si>
    <t>PIANO ECONOMICO A BASE DI GARA - SEMAFORI</t>
  </si>
  <si>
    <r>
      <t>Q</t>
    </r>
    <r>
      <rPr>
        <b/>
        <vertAlign val="subscript"/>
        <sz val="11"/>
        <rFont val="Calibri"/>
        <family val="2"/>
      </rPr>
      <t>riqu</t>
    </r>
  </si>
  <si>
    <r>
      <t>Importo Residuo Q</t>
    </r>
    <r>
      <rPr>
        <b/>
        <vertAlign val="subscript"/>
        <sz val="11"/>
        <rFont val="Calibri"/>
        <family val="2"/>
      </rPr>
      <t>riqu</t>
    </r>
    <r>
      <rPr>
        <b/>
        <sz val="11"/>
        <rFont val="Calibri"/>
        <family val="2"/>
      </rPr>
      <t xml:space="preserve"> da riconoscere in caso di recesso (rif. art.12 del CSA)</t>
    </r>
  </si>
  <si>
    <t>PIANO ECONOMICO OFFERTO - PUBBLICA ILLUMINAZIONE</t>
  </si>
  <si>
    <t>PIANO ECONOMICO OFFERTO - SEMAFORI</t>
  </si>
  <si>
    <t>Note per la compilazione:</t>
  </si>
  <si>
    <t>L'offerente compila solo le celle a sfondo verde.</t>
  </si>
  <si>
    <t>Per l'assegnazione dei punteggi si veda il "DISCIPLINARE DI GARA – Norme di gara"</t>
  </si>
  <si>
    <t>(compresi ex ENEL Sole)</t>
  </si>
  <si>
    <t>(ogni impianto è dotato di n.3 punti luce)</t>
  </si>
  <si>
    <t>di cui per impianti ex ENEL Sole 1.338.921 kWh/anno</t>
  </si>
  <si>
    <t>di cui impianti ex ENEL Sole: 2.416</t>
  </si>
  <si>
    <r>
      <t>Q</t>
    </r>
    <r>
      <rPr>
        <vertAlign val="subscript"/>
        <sz val="11"/>
        <color indexed="8"/>
        <rFont val="Calibri"/>
        <family val="2"/>
      </rPr>
      <t xml:space="preserve"> en 1°anno</t>
    </r>
    <r>
      <rPr>
        <sz val="11"/>
        <color theme="1"/>
        <rFont val="Calibri"/>
        <family val="2"/>
      </rPr>
      <t xml:space="preserve"> = kWh</t>
    </r>
    <r>
      <rPr>
        <vertAlign val="subscript"/>
        <sz val="11"/>
        <color indexed="8"/>
        <rFont val="Calibri"/>
        <family val="2"/>
      </rPr>
      <t xml:space="preserve"> 1°anno</t>
    </r>
    <r>
      <rPr>
        <sz val="11"/>
        <color theme="1"/>
        <rFont val="Calibri"/>
        <family val="2"/>
      </rPr>
      <t xml:space="preserve"> x P</t>
    </r>
    <r>
      <rPr>
        <vertAlign val="subscript"/>
        <sz val="11"/>
        <color indexed="8"/>
        <rFont val="Calibri"/>
        <family val="2"/>
      </rPr>
      <t>kWh (i)</t>
    </r>
  </si>
  <si>
    <t>di cui costi aziendali interni per la sicurezza (art. 87, comma 4 del D.Lgs.163/2006)</t>
  </si>
  <si>
    <t>Diecimiladuecentodue/35</t>
  </si>
  <si>
    <t>riferiti all'allegato D.3 e D.6</t>
  </si>
  <si>
    <t>€/impianto semaforico</t>
  </si>
</sst>
</file>

<file path=xl/styles.xml><?xml version="1.0" encoding="utf-8"?>
<styleSheet xmlns="http://schemas.openxmlformats.org/spreadsheetml/2006/main">
  <numFmts count="10">
    <numFmt numFmtId="8" formatCode="&quot;€&quot;\ #,##0.00;[Red]\-&quot;€&quot;\ #,##0.00"/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[$€]\ * #,##0.00_-;\-[$€]\ * #,##0.00_-;_-[$€]\ * &quot;-&quot;??_-;_-@_-"/>
    <numFmt numFmtId="165" formatCode="General_)"/>
    <numFmt numFmtId="166" formatCode="#,##0.000"/>
    <numFmt numFmtId="167" formatCode="#,##0.00000"/>
    <numFmt numFmtId="168" formatCode="0.000%"/>
  </numFmts>
  <fonts count="40">
    <font>
      <sz val="11"/>
      <color theme="1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0"/>
      <name val="Courier"/>
      <family val="3"/>
    </font>
    <font>
      <sz val="10"/>
      <color indexed="8"/>
      <name val="Arial"/>
      <family val="2"/>
    </font>
    <font>
      <sz val="11"/>
      <color indexed="60"/>
      <name val="Calibri"/>
      <family val="2"/>
    </font>
    <font>
      <sz val="11"/>
      <color indexed="8"/>
      <name val="Calibri"/>
      <family val="2"/>
    </font>
    <font>
      <sz val="10"/>
      <color indexed="8"/>
      <name val="Cambria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2"/>
      <color indexed="8"/>
      <name val="Calibri"/>
      <family val="2"/>
    </font>
    <font>
      <vertAlign val="subscript"/>
      <sz val="11"/>
      <color indexed="8"/>
      <name val="Calibri"/>
      <family val="2"/>
    </font>
    <font>
      <sz val="11"/>
      <color indexed="3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vertAlign val="subscript"/>
      <sz val="11"/>
      <color indexed="8"/>
      <name val="Calibri"/>
      <family val="2"/>
    </font>
    <font>
      <b/>
      <sz val="11"/>
      <name val="Calibri"/>
      <family val="2"/>
    </font>
    <font>
      <b/>
      <vertAlign val="subscript"/>
      <sz val="11"/>
      <name val="Calibri"/>
      <family val="2"/>
    </font>
    <font>
      <sz val="11"/>
      <color indexed="30"/>
      <name val="Calibri"/>
      <family val="2"/>
    </font>
    <font>
      <sz val="12"/>
      <name val="Calibri"/>
      <family val="2"/>
    </font>
    <font>
      <i/>
      <sz val="12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mbria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1" applyNumberFormat="0" applyAlignment="0" applyProtection="0"/>
    <xf numFmtId="0" fontId="7" fillId="0" borderId="2" applyNumberFormat="0" applyFill="0" applyAlignment="0" applyProtection="0"/>
    <xf numFmtId="0" fontId="8" fillId="17" borderId="3" applyNumberFormat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9" fillId="7" borderId="1" applyNumberFormat="0" applyAlignment="0" applyProtection="0"/>
    <xf numFmtId="165" fontId="10" fillId="0" borderId="0"/>
    <xf numFmtId="41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22" borderId="0" applyNumberFormat="0" applyBorder="0" applyAlignment="0" applyProtection="0"/>
    <xf numFmtId="0" fontId="10" fillId="0" borderId="0"/>
    <xf numFmtId="0" fontId="3" fillId="0" borderId="0"/>
    <xf numFmtId="0" fontId="2" fillId="0" borderId="0"/>
    <xf numFmtId="0" fontId="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" fillId="0" borderId="0"/>
    <xf numFmtId="0" fontId="39" fillId="0" borderId="0"/>
    <xf numFmtId="0" fontId="39" fillId="0" borderId="0"/>
    <xf numFmtId="0" fontId="2" fillId="23" borderId="4" applyNumberFormat="0" applyFont="0" applyAlignment="0" applyProtection="0"/>
    <xf numFmtId="0" fontId="2" fillId="23" borderId="4" applyNumberFormat="0" applyFont="0" applyAlignment="0" applyProtection="0"/>
    <xf numFmtId="0" fontId="2" fillId="23" borderId="4" applyNumberFormat="0" applyFont="0" applyAlignment="0" applyProtection="0"/>
    <xf numFmtId="0" fontId="15" fillId="16" borderId="5" applyNumberFormat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42" fontId="11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Protection="1"/>
    <xf numFmtId="0" fontId="25" fillId="0" borderId="0" xfId="0" applyFont="1" applyAlignment="1" applyProtection="1">
      <alignment horizontal="center"/>
    </xf>
    <xf numFmtId="0" fontId="0" fillId="0" borderId="0" xfId="0" applyAlignment="1" applyProtection="1">
      <alignment horizontal="right"/>
    </xf>
    <xf numFmtId="0" fontId="1" fillId="0" borderId="10" xfId="0" applyFont="1" applyBorder="1" applyAlignment="1" applyProtection="1">
      <alignment horizontal="center"/>
    </xf>
    <xf numFmtId="0" fontId="1" fillId="0" borderId="11" xfId="0" applyFont="1" applyBorder="1" applyProtection="1"/>
    <xf numFmtId="0" fontId="1" fillId="0" borderId="12" xfId="0" applyFont="1" applyBorder="1" applyProtection="1"/>
    <xf numFmtId="0" fontId="1" fillId="0" borderId="13" xfId="0" applyFont="1" applyBorder="1" applyProtection="1"/>
    <xf numFmtId="0" fontId="1" fillId="0" borderId="11" xfId="0" applyFont="1" applyBorder="1" applyAlignment="1" applyProtection="1">
      <alignment horizontal="center"/>
    </xf>
    <xf numFmtId="0" fontId="1" fillId="0" borderId="10" xfId="0" applyFont="1" applyFill="1" applyBorder="1" applyProtection="1"/>
    <xf numFmtId="0" fontId="1" fillId="24" borderId="0" xfId="0" applyFont="1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0" fontId="0" fillId="0" borderId="0" xfId="0" applyFill="1" applyAlignment="1" applyProtection="1">
      <alignment horizontal="center"/>
    </xf>
    <xf numFmtId="0" fontId="0" fillId="0" borderId="14" xfId="0" applyBorder="1" applyProtection="1"/>
    <xf numFmtId="0" fontId="0" fillId="0" borderId="15" xfId="0" applyBorder="1" applyProtection="1"/>
    <xf numFmtId="0" fontId="0" fillId="0" borderId="16" xfId="0" applyBorder="1" applyProtection="1"/>
    <xf numFmtId="0" fontId="0" fillId="0" borderId="15" xfId="0" applyBorder="1" applyAlignment="1" applyProtection="1">
      <alignment horizontal="right"/>
    </xf>
    <xf numFmtId="3" fontId="27" fillId="0" borderId="16" xfId="0" applyNumberFormat="1" applyFont="1" applyBorder="1" applyProtection="1"/>
    <xf numFmtId="0" fontId="0" fillId="0" borderId="17" xfId="0" applyBorder="1" applyProtection="1"/>
    <xf numFmtId="0" fontId="0" fillId="0" borderId="0" xfId="0" applyBorder="1" applyProtection="1"/>
    <xf numFmtId="0" fontId="0" fillId="0" borderId="18" xfId="0" applyBorder="1" applyProtection="1"/>
    <xf numFmtId="0" fontId="0" fillId="0" borderId="19" xfId="0" applyBorder="1" applyProtection="1"/>
    <xf numFmtId="0" fontId="0" fillId="0" borderId="20" xfId="0" applyBorder="1" applyProtection="1"/>
    <xf numFmtId="0" fontId="0" fillId="0" borderId="19" xfId="0" applyBorder="1" applyAlignment="1" applyProtection="1">
      <alignment horizontal="right"/>
    </xf>
    <xf numFmtId="3" fontId="27" fillId="0" borderId="20" xfId="0" applyNumberFormat="1" applyFont="1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0" borderId="13" xfId="0" applyBorder="1" applyProtection="1"/>
    <xf numFmtId="0" fontId="0" fillId="0" borderId="11" xfId="0" applyBorder="1" applyAlignment="1" applyProtection="1">
      <alignment horizontal="right"/>
    </xf>
    <xf numFmtId="167" fontId="27" fillId="0" borderId="16" xfId="0" applyNumberFormat="1" applyFont="1" applyBorder="1" applyProtection="1"/>
    <xf numFmtId="4" fontId="0" fillId="0" borderId="13" xfId="0" applyNumberFormat="1" applyBorder="1" applyProtection="1"/>
    <xf numFmtId="0" fontId="0" fillId="24" borderId="0" xfId="0" applyFill="1" applyBorder="1" applyProtection="1"/>
    <xf numFmtId="4" fontId="0" fillId="0" borderId="21" xfId="0" applyNumberFormat="1" applyBorder="1" applyProtection="1"/>
    <xf numFmtId="0" fontId="0" fillId="0" borderId="22" xfId="0" applyBorder="1" applyProtection="1"/>
    <xf numFmtId="0" fontId="0" fillId="0" borderId="0" xfId="0" applyBorder="1" applyAlignment="1" applyProtection="1">
      <alignment horizontal="right"/>
    </xf>
    <xf numFmtId="4" fontId="0" fillId="0" borderId="22" xfId="0" applyNumberFormat="1" applyBorder="1" applyProtection="1"/>
    <xf numFmtId="4" fontId="0" fillId="0" borderId="23" xfId="0" applyNumberFormat="1" applyBorder="1" applyProtection="1"/>
    <xf numFmtId="4" fontId="0" fillId="0" borderId="24" xfId="0" applyNumberFormat="1" applyBorder="1" applyProtection="1"/>
    <xf numFmtId="4" fontId="27" fillId="0" borderId="22" xfId="0" applyNumberFormat="1" applyFont="1" applyBorder="1" applyProtection="1"/>
    <xf numFmtId="0" fontId="0" fillId="0" borderId="18" xfId="0" applyFill="1" applyBorder="1" applyProtection="1"/>
    <xf numFmtId="0" fontId="0" fillId="0" borderId="24" xfId="0" applyBorder="1" applyProtection="1"/>
    <xf numFmtId="0" fontId="0" fillId="0" borderId="0" xfId="0" applyFill="1" applyBorder="1" applyProtection="1"/>
    <xf numFmtId="0" fontId="1" fillId="0" borderId="0" xfId="0" applyFont="1" applyBorder="1" applyAlignment="1" applyProtection="1">
      <alignment horizontal="right"/>
    </xf>
    <xf numFmtId="4" fontId="28" fillId="0" borderId="0" xfId="0" applyNumberFormat="1" applyFont="1" applyBorder="1" applyProtection="1"/>
    <xf numFmtId="4" fontId="0" fillId="0" borderId="0" xfId="0" applyNumberFormat="1" applyBorder="1" applyProtection="1"/>
    <xf numFmtId="0" fontId="0" fillId="0" borderId="14" xfId="0" applyFill="1" applyBorder="1" applyProtection="1"/>
    <xf numFmtId="0" fontId="1" fillId="0" borderId="16" xfId="0" applyFont="1" applyBorder="1" applyAlignment="1" applyProtection="1">
      <alignment horizontal="right"/>
    </xf>
    <xf numFmtId="4" fontId="29" fillId="0" borderId="16" xfId="0" applyNumberFormat="1" applyFont="1" applyBorder="1" applyProtection="1"/>
    <xf numFmtId="0" fontId="0" fillId="0" borderId="17" xfId="0" applyFill="1" applyBorder="1" applyProtection="1"/>
    <xf numFmtId="0" fontId="1" fillId="0" borderId="22" xfId="0" applyFont="1" applyBorder="1" applyAlignment="1" applyProtection="1">
      <alignment horizontal="right"/>
    </xf>
    <xf numFmtId="4" fontId="29" fillId="0" borderId="22" xfId="0" applyNumberFormat="1" applyFont="1" applyBorder="1" applyProtection="1"/>
    <xf numFmtId="0" fontId="1" fillId="0" borderId="20" xfId="0" applyFont="1" applyBorder="1" applyAlignment="1" applyProtection="1">
      <alignment horizontal="right"/>
    </xf>
    <xf numFmtId="4" fontId="29" fillId="0" borderId="20" xfId="0" applyNumberFormat="1" applyFont="1" applyBorder="1" applyProtection="1"/>
    <xf numFmtId="4" fontId="1" fillId="0" borderId="13" xfId="0" applyNumberFormat="1" applyFont="1" applyBorder="1" applyProtection="1"/>
    <xf numFmtId="0" fontId="25" fillId="0" borderId="12" xfId="0" applyFont="1" applyFill="1" applyBorder="1" applyProtection="1"/>
    <xf numFmtId="0" fontId="0" fillId="0" borderId="11" xfId="0" applyFill="1" applyBorder="1" applyProtection="1"/>
    <xf numFmtId="0" fontId="0" fillId="0" borderId="11" xfId="0" applyFill="1" applyBorder="1" applyAlignment="1" applyProtection="1">
      <alignment horizontal="right"/>
    </xf>
    <xf numFmtId="0" fontId="0" fillId="0" borderId="13" xfId="0" applyFill="1" applyBorder="1" applyAlignment="1" applyProtection="1">
      <alignment horizontal="right"/>
    </xf>
    <xf numFmtId="0" fontId="0" fillId="0" borderId="10" xfId="0" applyBorder="1" applyProtection="1"/>
    <xf numFmtId="166" fontId="0" fillId="25" borderId="21" xfId="0" applyNumberFormat="1" applyFill="1" applyBorder="1" applyProtection="1">
      <protection locked="0"/>
    </xf>
    <xf numFmtId="0" fontId="0" fillId="25" borderId="21" xfId="0" applyFill="1" applyBorder="1" applyProtection="1">
      <protection locked="0"/>
    </xf>
    <xf numFmtId="4" fontId="0" fillId="25" borderId="24" xfId="0" applyNumberFormat="1" applyFill="1" applyBorder="1" applyProtection="1">
      <protection locked="0"/>
    </xf>
    <xf numFmtId="0" fontId="0" fillId="25" borderId="24" xfId="0" applyFill="1" applyBorder="1" applyProtection="1">
      <protection locked="0"/>
    </xf>
    <xf numFmtId="4" fontId="0" fillId="0" borderId="16" xfId="0" applyNumberFormat="1" applyFill="1" applyBorder="1" applyProtection="1"/>
    <xf numFmtId="0" fontId="31" fillId="0" borderId="0" xfId="47" applyFont="1" applyProtection="1"/>
    <xf numFmtId="0" fontId="30" fillId="0" borderId="0" xfId="0" applyFont="1" applyAlignment="1" applyProtection="1">
      <alignment horizontal="center"/>
    </xf>
    <xf numFmtId="0" fontId="33" fillId="0" borderId="0" xfId="47" applyFont="1" applyProtection="1"/>
    <xf numFmtId="0" fontId="30" fillId="0" borderId="21" xfId="0" applyFont="1" applyBorder="1" applyAlignment="1" applyProtection="1">
      <alignment horizontal="center"/>
    </xf>
    <xf numFmtId="0" fontId="30" fillId="0" borderId="0" xfId="0" applyFont="1" applyBorder="1" applyAlignment="1" applyProtection="1">
      <alignment horizontal="center"/>
    </xf>
    <xf numFmtId="0" fontId="31" fillId="0" borderId="14" xfId="47" applyFont="1" applyBorder="1" applyProtection="1"/>
    <xf numFmtId="44" fontId="13" fillId="0" borderId="21" xfId="0" applyNumberFormat="1" applyFont="1" applyBorder="1" applyAlignment="1" applyProtection="1">
      <alignment horizontal="right"/>
    </xf>
    <xf numFmtId="44" fontId="13" fillId="0" borderId="0" xfId="0" applyNumberFormat="1" applyFont="1" applyBorder="1" applyAlignment="1" applyProtection="1">
      <alignment horizontal="right"/>
    </xf>
    <xf numFmtId="0" fontId="31" fillId="0" borderId="10" xfId="47" applyFont="1" applyBorder="1" applyProtection="1"/>
    <xf numFmtId="0" fontId="31" fillId="0" borderId="17" xfId="47" applyFont="1" applyBorder="1" applyProtection="1"/>
    <xf numFmtId="44" fontId="13" fillId="0" borderId="0" xfId="0" applyNumberFormat="1" applyFont="1" applyFill="1" applyBorder="1" applyProtection="1"/>
    <xf numFmtId="44" fontId="31" fillId="0" borderId="10" xfId="29" applyFont="1" applyBorder="1" applyProtection="1"/>
    <xf numFmtId="44" fontId="31" fillId="0" borderId="10" xfId="47" applyNumberFormat="1" applyFont="1" applyBorder="1" applyProtection="1"/>
    <xf numFmtId="0" fontId="31" fillId="0" borderId="0" xfId="47" applyFont="1" applyBorder="1" applyProtection="1"/>
    <xf numFmtId="0" fontId="31" fillId="0" borderId="18" xfId="47" applyFont="1" applyBorder="1" applyProtection="1"/>
    <xf numFmtId="10" fontId="13" fillId="0" borderId="0" xfId="63" applyNumberFormat="1" applyFont="1" applyBorder="1" applyProtection="1"/>
    <xf numFmtId="44" fontId="33" fillId="0" borderId="0" xfId="47" applyNumberFormat="1" applyFont="1" applyProtection="1"/>
    <xf numFmtId="44" fontId="31" fillId="0" borderId="0" xfId="47" applyNumberFormat="1" applyFont="1" applyProtection="1"/>
    <xf numFmtId="0" fontId="30" fillId="0" borderId="10" xfId="0" applyFont="1" applyBorder="1" applyAlignment="1" applyProtection="1">
      <alignment horizontal="center"/>
    </xf>
    <xf numFmtId="0" fontId="1" fillId="0" borderId="0" xfId="0" applyFont="1" applyFill="1" applyBorder="1" applyProtection="1"/>
    <xf numFmtId="44" fontId="31" fillId="0" borderId="10" xfId="29" applyNumberFormat="1" applyFont="1" applyBorder="1" applyProtection="1"/>
    <xf numFmtId="3" fontId="31" fillId="0" borderId="23" xfId="47" applyNumberFormat="1" applyFont="1" applyBorder="1" applyProtection="1"/>
    <xf numFmtId="0" fontId="0" fillId="0" borderId="18" xfId="0" applyBorder="1" applyAlignment="1" applyProtection="1">
      <alignment horizontal="right"/>
    </xf>
    <xf numFmtId="4" fontId="0" fillId="25" borderId="23" xfId="0" applyNumberFormat="1" applyFill="1" applyBorder="1" applyProtection="1">
      <protection locked="0"/>
    </xf>
    <xf numFmtId="0" fontId="0" fillId="25" borderId="23" xfId="0" applyFill="1" applyBorder="1" applyProtection="1">
      <protection locked="0"/>
    </xf>
    <xf numFmtId="3" fontId="27" fillId="0" borderId="22" xfId="0" applyNumberFormat="1" applyFont="1" applyBorder="1" applyProtection="1"/>
    <xf numFmtId="3" fontId="27" fillId="0" borderId="16" xfId="0" applyNumberFormat="1" applyFont="1" applyFill="1" applyBorder="1" applyProtection="1"/>
    <xf numFmtId="49" fontId="0" fillId="25" borderId="21" xfId="0" applyNumberFormat="1" applyFill="1" applyBorder="1" applyProtection="1">
      <protection locked="0"/>
    </xf>
    <xf numFmtId="49" fontId="0" fillId="25" borderId="10" xfId="0" applyNumberFormat="1" applyFill="1" applyBorder="1" applyProtection="1">
      <protection locked="0"/>
    </xf>
    <xf numFmtId="44" fontId="35" fillId="0" borderId="23" xfId="0" applyNumberFormat="1" applyFont="1" applyFill="1" applyBorder="1" applyProtection="1"/>
    <xf numFmtId="10" fontId="35" fillId="0" borderId="24" xfId="63" applyNumberFormat="1" applyFont="1" applyBorder="1" applyProtection="1"/>
    <xf numFmtId="0" fontId="31" fillId="0" borderId="14" xfId="47" applyFont="1" applyBorder="1" applyAlignment="1" applyProtection="1"/>
    <xf numFmtId="4" fontId="29" fillId="0" borderId="22" xfId="0" applyNumberFormat="1" applyFont="1" applyFill="1" applyBorder="1" applyProtection="1"/>
    <xf numFmtId="0" fontId="1" fillId="0" borderId="17" xfId="0" applyFont="1" applyFill="1" applyBorder="1" applyAlignment="1" applyProtection="1">
      <alignment horizontal="left"/>
    </xf>
    <xf numFmtId="4" fontId="27" fillId="0" borderId="20" xfId="0" applyNumberFormat="1" applyFont="1" applyFill="1" applyBorder="1" applyProtection="1"/>
    <xf numFmtId="10" fontId="0" fillId="25" borderId="24" xfId="0" applyNumberFormat="1" applyFill="1" applyBorder="1" applyProtection="1">
      <protection locked="0"/>
    </xf>
    <xf numFmtId="44" fontId="0" fillId="25" borderId="23" xfId="0" applyNumberFormat="1" applyFill="1" applyBorder="1" applyProtection="1">
      <protection locked="0"/>
    </xf>
    <xf numFmtId="4" fontId="29" fillId="0" borderId="24" xfId="0" applyNumberFormat="1" applyFont="1" applyBorder="1" applyProtection="1"/>
    <xf numFmtId="44" fontId="13" fillId="0" borderId="21" xfId="0" applyNumberFormat="1" applyFont="1" applyFill="1" applyBorder="1" applyProtection="1"/>
    <xf numFmtId="0" fontId="13" fillId="0" borderId="17" xfId="0" applyFont="1" applyFill="1" applyBorder="1" applyProtection="1"/>
    <xf numFmtId="10" fontId="13" fillId="0" borderId="24" xfId="63" applyNumberFormat="1" applyFont="1" applyFill="1" applyBorder="1" applyProtection="1"/>
    <xf numFmtId="0" fontId="28" fillId="0" borderId="0" xfId="47" applyFont="1" applyProtection="1"/>
    <xf numFmtId="0" fontId="29" fillId="0" borderId="0" xfId="47" applyFont="1" applyProtection="1"/>
    <xf numFmtId="0" fontId="22" fillId="0" borderId="10" xfId="0" applyNumberFormat="1" applyFont="1" applyBorder="1" applyAlignment="1" applyProtection="1">
      <alignment horizontal="center"/>
    </xf>
    <xf numFmtId="0" fontId="22" fillId="0" borderId="11" xfId="0" applyNumberFormat="1" applyFont="1" applyBorder="1" applyProtection="1"/>
    <xf numFmtId="0" fontId="22" fillId="0" borderId="10" xfId="0" applyNumberFormat="1" applyFont="1" applyBorder="1" applyAlignment="1" applyProtection="1">
      <alignment horizontal="left"/>
    </xf>
    <xf numFmtId="0" fontId="22" fillId="0" borderId="10" xfId="0" applyNumberFormat="1" applyFont="1" applyFill="1" applyBorder="1" applyProtection="1"/>
    <xf numFmtId="0" fontId="29" fillId="0" borderId="21" xfId="47" applyFont="1" applyBorder="1" applyProtection="1"/>
    <xf numFmtId="44" fontId="29" fillId="0" borderId="21" xfId="29" applyNumberFormat="1" applyFont="1" applyBorder="1" applyProtection="1"/>
    <xf numFmtId="0" fontId="4" fillId="26" borderId="12" xfId="0" applyNumberFormat="1" applyFont="1" applyFill="1" applyBorder="1" applyProtection="1"/>
    <xf numFmtId="0" fontId="0" fillId="0" borderId="15" xfId="0" applyNumberFormat="1" applyBorder="1" applyProtection="1"/>
    <xf numFmtId="0" fontId="29" fillId="0" borderId="10" xfId="47" applyFont="1" applyBorder="1" applyProtection="1"/>
    <xf numFmtId="0" fontId="29" fillId="0" borderId="23" xfId="47" applyFont="1" applyBorder="1" applyAlignment="1" applyProtection="1">
      <alignment vertical="center"/>
    </xf>
    <xf numFmtId="0" fontId="0" fillId="0" borderId="18" xfId="0" applyNumberFormat="1" applyFill="1" applyBorder="1" applyProtection="1"/>
    <xf numFmtId="44" fontId="29" fillId="0" borderId="10" xfId="29" applyNumberFormat="1" applyFont="1" applyBorder="1" applyProtection="1"/>
    <xf numFmtId="44" fontId="29" fillId="0" borderId="10" xfId="47" applyNumberFormat="1" applyFont="1" applyBorder="1" applyProtection="1"/>
    <xf numFmtId="0" fontId="29" fillId="0" borderId="23" xfId="47" applyFont="1" applyBorder="1" applyProtection="1"/>
    <xf numFmtId="0" fontId="29" fillId="0" borderId="12" xfId="47" applyFont="1" applyBorder="1" applyProtection="1"/>
    <xf numFmtId="0" fontId="29" fillId="0" borderId="15" xfId="47" applyFont="1" applyBorder="1" applyProtection="1"/>
    <xf numFmtId="44" fontId="29" fillId="0" borderId="10" xfId="29" applyFont="1" applyBorder="1" applyProtection="1"/>
    <xf numFmtId="0" fontId="29" fillId="0" borderId="24" xfId="47" applyFont="1" applyBorder="1" applyAlignment="1" applyProtection="1">
      <alignment vertical="center"/>
    </xf>
    <xf numFmtId="0" fontId="29" fillId="0" borderId="18" xfId="47" applyFont="1" applyFill="1" applyBorder="1" applyProtection="1"/>
    <xf numFmtId="44" fontId="28" fillId="0" borderId="0" xfId="47" applyNumberFormat="1" applyFont="1" applyProtection="1"/>
    <xf numFmtId="44" fontId="29" fillId="0" borderId="0" xfId="47" applyNumberFormat="1" applyFont="1" applyProtection="1"/>
    <xf numFmtId="8" fontId="29" fillId="0" borderId="21" xfId="29" applyNumberFormat="1" applyFont="1" applyBorder="1" applyProtection="1"/>
    <xf numFmtId="0" fontId="36" fillId="0" borderId="0" xfId="0" applyFont="1" applyFill="1" applyAlignment="1">
      <alignment horizontal="left" vertical="center"/>
    </xf>
    <xf numFmtId="0" fontId="36" fillId="0" borderId="0" xfId="0" applyFont="1" applyFill="1" applyAlignment="1">
      <alignment vertical="center"/>
    </xf>
    <xf numFmtId="0" fontId="36" fillId="0" borderId="0" xfId="0" applyFont="1" applyFill="1" applyAlignment="1">
      <alignment vertical="center" wrapText="1"/>
    </xf>
    <xf numFmtId="0" fontId="37" fillId="0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0" fillId="25" borderId="0" xfId="0" applyFill="1" applyAlignment="1" applyProtection="1">
      <alignment horizontal="center"/>
    </xf>
    <xf numFmtId="0" fontId="29" fillId="0" borderId="0" xfId="0" quotePrefix="1" applyFont="1" applyFill="1" applyAlignment="1">
      <alignment vertical="center"/>
    </xf>
    <xf numFmtId="0" fontId="0" fillId="0" borderId="16" xfId="0" applyBorder="1" applyAlignment="1" applyProtection="1">
      <alignment horizontal="right"/>
    </xf>
    <xf numFmtId="0" fontId="0" fillId="0" borderId="20" xfId="0" applyBorder="1" applyAlignment="1" applyProtection="1">
      <alignment horizontal="right"/>
    </xf>
    <xf numFmtId="4" fontId="0" fillId="0" borderId="22" xfId="0" applyNumberFormat="1" applyFill="1" applyBorder="1" applyProtection="1"/>
    <xf numFmtId="44" fontId="0" fillId="25" borderId="10" xfId="0" applyNumberFormat="1" applyFill="1" applyBorder="1" applyProtection="1">
      <protection locked="0"/>
    </xf>
    <xf numFmtId="44" fontId="35" fillId="27" borderId="23" xfId="0" applyNumberFormat="1" applyFont="1" applyFill="1" applyBorder="1" applyProtection="1"/>
    <xf numFmtId="168" fontId="1" fillId="0" borderId="13" xfId="0" applyNumberFormat="1" applyFont="1" applyFill="1" applyBorder="1" applyProtection="1"/>
    <xf numFmtId="44" fontId="13" fillId="27" borderId="0" xfId="0" applyNumberFormat="1" applyFont="1" applyFill="1" applyBorder="1" applyProtection="1"/>
    <xf numFmtId="0" fontId="33" fillId="0" borderId="10" xfId="47" applyFont="1" applyBorder="1" applyAlignment="1" applyProtection="1">
      <alignment horizontal="center" vertical="center" wrapText="1"/>
    </xf>
    <xf numFmtId="0" fontId="28" fillId="0" borderId="21" xfId="47" applyFont="1" applyBorder="1" applyAlignment="1" applyProtection="1">
      <alignment horizontal="center" vertical="center" wrapText="1"/>
    </xf>
    <xf numFmtId="0" fontId="28" fillId="0" borderId="24" xfId="47" applyFont="1" applyBorder="1" applyAlignment="1" applyProtection="1">
      <alignment horizontal="center" vertical="center" wrapText="1"/>
    </xf>
  </cellXfs>
  <cellStyles count="77">
    <cellStyle name="20% - Colore 1 2" xfId="1"/>
    <cellStyle name="20% - Colore 2 2" xfId="2"/>
    <cellStyle name="20% - Colore 3 2" xfId="3"/>
    <cellStyle name="20% - Colore 4 2" xfId="4"/>
    <cellStyle name="20% - Colore 5 2" xfId="5"/>
    <cellStyle name="20% - Colore 6 2" xfId="6"/>
    <cellStyle name="40% - Colore 1 2" xfId="7"/>
    <cellStyle name="40% - Colore 2 2" xfId="8"/>
    <cellStyle name="40% - Colore 3 2" xfId="9"/>
    <cellStyle name="40% - Colore 4 2" xfId="10"/>
    <cellStyle name="40% - Colore 5 2" xfId="11"/>
    <cellStyle name="40% - Colore 6 2" xfId="12"/>
    <cellStyle name="60% - Colore 1 2" xfId="13"/>
    <cellStyle name="60% - Colore 2 2" xfId="14"/>
    <cellStyle name="60% - Colore 3 2" xfId="15"/>
    <cellStyle name="60% - Colore 4 2" xfId="16"/>
    <cellStyle name="60% - Colore 5 2" xfId="17"/>
    <cellStyle name="60% - Colore 6 2" xfId="18"/>
    <cellStyle name="Calcolo 2" xfId="19"/>
    <cellStyle name="Cella collegata 2" xfId="20"/>
    <cellStyle name="Cella da controllare 2" xfId="21"/>
    <cellStyle name="Colore 1 2" xfId="22"/>
    <cellStyle name="Colore 2 2" xfId="23"/>
    <cellStyle name="Colore 3 2" xfId="24"/>
    <cellStyle name="Colore 4 2" xfId="25"/>
    <cellStyle name="Colore 5 2" xfId="26"/>
    <cellStyle name="Colore 6 2" xfId="27"/>
    <cellStyle name="Euro" xfId="28"/>
    <cellStyle name="Euro 2" xfId="29"/>
    <cellStyle name="Euro 2 2" xfId="30"/>
    <cellStyle name="Euro 3" xfId="31"/>
    <cellStyle name="Euro 4" xfId="32"/>
    <cellStyle name="Euro 5" xfId="33"/>
    <cellStyle name="Euro_Allegato C" xfId="34"/>
    <cellStyle name="Input 2" xfId="35"/>
    <cellStyle name="Istogram. 3D_A_2" xfId="36"/>
    <cellStyle name="Migliaia (0)_2002 -14 - Consorzio Ferrara Energia" xfId="37"/>
    <cellStyle name="Migliaia 2" xfId="38"/>
    <cellStyle name="Migliaia 2 2" xfId="39"/>
    <cellStyle name="Migliaia 3" xfId="40"/>
    <cellStyle name="Migliaia 3 2" xfId="41"/>
    <cellStyle name="Migliaia 4" xfId="42"/>
    <cellStyle name="Migliaia 5" xfId="43"/>
    <cellStyle name="Neutrale 2" xfId="44"/>
    <cellStyle name="Non_definito" xfId="45"/>
    <cellStyle name="Normale" xfId="0" builtinId="0"/>
    <cellStyle name="Normale 2" xfId="46"/>
    <cellStyle name="Normale 2 2" xfId="47"/>
    <cellStyle name="Normale 3" xfId="48"/>
    <cellStyle name="Normale 4" xfId="49"/>
    <cellStyle name="Normale 4 2" xfId="50"/>
    <cellStyle name="Normale 5" xfId="51"/>
    <cellStyle name="Normale 5 2" xfId="52"/>
    <cellStyle name="Normale 6" xfId="53"/>
    <cellStyle name="Normale 7" xfId="54"/>
    <cellStyle name="Normale 8" xfId="55"/>
    <cellStyle name="Nota 2" xfId="56"/>
    <cellStyle name="Nota 2 2" xfId="57"/>
    <cellStyle name="Nota 3" xfId="58"/>
    <cellStyle name="Output 2" xfId="59"/>
    <cellStyle name="Percentuale 2" xfId="60"/>
    <cellStyle name="Percentuale 2 2" xfId="61"/>
    <cellStyle name="Percentuale 3" xfId="62"/>
    <cellStyle name="Percentuale 4" xfId="63"/>
    <cellStyle name="Percentuale 5" xfId="64"/>
    <cellStyle name="Percentuale 6" xfId="65"/>
    <cellStyle name="Testo avviso 2" xfId="66"/>
    <cellStyle name="Testo descrittivo 2" xfId="67"/>
    <cellStyle name="Titolo 1 2" xfId="68"/>
    <cellStyle name="Titolo 2 2" xfId="69"/>
    <cellStyle name="Titolo 3 2" xfId="70"/>
    <cellStyle name="Titolo 4 2" xfId="71"/>
    <cellStyle name="Titolo 5" xfId="72"/>
    <cellStyle name="Totale 2" xfId="73"/>
    <cellStyle name="Valore non valido 2" xfId="74"/>
    <cellStyle name="Valore valido 2" xfId="75"/>
    <cellStyle name="Valuta (0)_2002 -14 - Consorzio Ferrara Energia" xfId="7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5"/>
  <sheetViews>
    <sheetView showGridLines="0" tabSelected="1" zoomScaleNormal="100" zoomScaleSheetLayoutView="100" workbookViewId="0">
      <selection activeCell="T27" sqref="T27"/>
    </sheetView>
  </sheetViews>
  <sheetFormatPr defaultRowHeight="15"/>
  <cols>
    <col min="1" max="1" width="9.7109375" style="1" customWidth="1"/>
    <col min="2" max="16" width="9.140625" style="2"/>
    <col min="17" max="17" width="12.28515625" style="4" bestFit="1" customWidth="1"/>
    <col min="18" max="19" width="20.7109375" style="2" customWidth="1"/>
    <col min="20" max="20" width="72.140625" style="2" customWidth="1"/>
    <col min="21" max="21" width="26.85546875" style="2" bestFit="1" customWidth="1"/>
    <col min="22" max="16384" width="9.140625" style="2"/>
  </cols>
  <sheetData>
    <row r="1" spans="1:21" ht="15.75">
      <c r="O1" s="3" t="s">
        <v>48</v>
      </c>
    </row>
    <row r="5" spans="1:21">
      <c r="A5" s="5" t="s">
        <v>8</v>
      </c>
      <c r="B5" s="6" t="s">
        <v>9</v>
      </c>
      <c r="C5" s="6"/>
      <c r="D5" s="6"/>
      <c r="E5" s="6"/>
      <c r="F5" s="6"/>
      <c r="G5" s="6"/>
      <c r="H5" s="6"/>
      <c r="I5" s="6"/>
      <c r="J5" s="6"/>
      <c r="K5" s="7" t="s">
        <v>14</v>
      </c>
      <c r="L5" s="6"/>
      <c r="M5" s="6"/>
      <c r="N5" s="6"/>
      <c r="O5" s="6"/>
      <c r="P5" s="8"/>
      <c r="Q5" s="9" t="s">
        <v>6</v>
      </c>
      <c r="R5" s="5" t="s">
        <v>7</v>
      </c>
      <c r="S5" s="5" t="s">
        <v>21</v>
      </c>
      <c r="T5" s="5" t="s">
        <v>22</v>
      </c>
      <c r="U5" s="10" t="s">
        <v>23</v>
      </c>
    </row>
    <row r="7" spans="1:21">
      <c r="B7" s="11" t="s">
        <v>18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3"/>
      <c r="R7" s="12"/>
    </row>
    <row r="8" spans="1:21" ht="18">
      <c r="A8" s="14" t="s">
        <v>24</v>
      </c>
      <c r="B8" s="15" t="s">
        <v>1</v>
      </c>
      <c r="C8" s="16"/>
      <c r="D8" s="16"/>
      <c r="E8" s="16"/>
      <c r="F8" s="16"/>
      <c r="G8" s="16"/>
      <c r="H8" s="16"/>
      <c r="I8" s="16"/>
      <c r="J8" s="16"/>
      <c r="K8" s="15"/>
      <c r="L8" s="16"/>
      <c r="M8" s="16"/>
      <c r="N8" s="16"/>
      <c r="O8" s="16"/>
      <c r="P8" s="139" t="s">
        <v>94</v>
      </c>
      <c r="Q8" s="18" t="s">
        <v>4</v>
      </c>
      <c r="R8" s="19">
        <v>7786</v>
      </c>
      <c r="S8" s="21" t="s">
        <v>97</v>
      </c>
      <c r="T8" s="21"/>
      <c r="U8" s="21"/>
    </row>
    <row r="9" spans="1:21" ht="18">
      <c r="A9" s="14" t="s">
        <v>69</v>
      </c>
      <c r="B9" s="20" t="s">
        <v>68</v>
      </c>
      <c r="C9" s="21"/>
      <c r="D9" s="21"/>
      <c r="E9" s="21"/>
      <c r="F9" s="21"/>
      <c r="G9" s="21"/>
      <c r="H9" s="21"/>
      <c r="I9" s="21"/>
      <c r="J9" s="21"/>
      <c r="K9" s="20" t="s">
        <v>95</v>
      </c>
      <c r="L9" s="21"/>
      <c r="M9" s="21"/>
      <c r="N9" s="21"/>
      <c r="O9" s="21"/>
      <c r="P9" s="35"/>
      <c r="Q9" s="36" t="s">
        <v>4</v>
      </c>
      <c r="R9" s="91">
        <v>9</v>
      </c>
      <c r="S9" s="20"/>
      <c r="T9" s="21"/>
      <c r="U9" s="21"/>
    </row>
    <row r="10" spans="1:21">
      <c r="A10" s="14" t="s">
        <v>0</v>
      </c>
      <c r="B10" s="22" t="s">
        <v>19</v>
      </c>
      <c r="C10" s="23"/>
      <c r="D10" s="23"/>
      <c r="E10" s="23"/>
      <c r="F10" s="23"/>
      <c r="G10" s="23"/>
      <c r="H10" s="23"/>
      <c r="I10" s="23"/>
      <c r="J10" s="23"/>
      <c r="K10" s="22"/>
      <c r="L10" s="23"/>
      <c r="M10" s="23"/>
      <c r="N10" s="23"/>
      <c r="O10" s="23"/>
      <c r="P10" s="24"/>
      <c r="Q10" s="25" t="s">
        <v>20</v>
      </c>
      <c r="R10" s="26">
        <v>10</v>
      </c>
      <c r="S10" s="20"/>
      <c r="T10" s="21"/>
      <c r="U10" s="21"/>
    </row>
    <row r="11" spans="1:21">
      <c r="A11" s="14"/>
      <c r="S11" s="21"/>
      <c r="T11" s="21"/>
      <c r="U11" s="21"/>
    </row>
    <row r="12" spans="1:21">
      <c r="A12" s="14"/>
      <c r="B12" s="11" t="s">
        <v>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3"/>
      <c r="R12" s="12"/>
      <c r="S12" s="21"/>
      <c r="T12" s="21"/>
      <c r="U12" s="21"/>
    </row>
    <row r="13" spans="1:21" ht="18">
      <c r="A13" s="14" t="s">
        <v>32</v>
      </c>
      <c r="B13" s="15" t="s">
        <v>58</v>
      </c>
      <c r="C13" s="16"/>
      <c r="D13" s="16"/>
      <c r="E13" s="16"/>
      <c r="F13" s="16"/>
      <c r="G13" s="16"/>
      <c r="H13" s="16"/>
      <c r="I13" s="16"/>
      <c r="J13" s="17"/>
      <c r="K13" s="15"/>
      <c r="L13" s="16"/>
      <c r="M13" s="16"/>
      <c r="N13" s="16"/>
      <c r="O13" s="16"/>
      <c r="P13" s="139" t="s">
        <v>94</v>
      </c>
      <c r="Q13" s="18" t="s">
        <v>5</v>
      </c>
      <c r="R13" s="92">
        <f>3761257+63466+1338921</f>
        <v>5163644</v>
      </c>
      <c r="S13" s="21" t="s">
        <v>96</v>
      </c>
      <c r="T13" s="21"/>
      <c r="U13" s="21"/>
    </row>
    <row r="14" spans="1:21" ht="18">
      <c r="A14" s="14" t="s">
        <v>25</v>
      </c>
      <c r="B14" s="22" t="str">
        <f>"Consumo annuo impianti Illuminazione Pubblica e Semaforici considerato nel calcolo (dal 2° al "&amp;R10&amp;"° anno)"</f>
        <v>Consumo annuo impianti Illuminazione Pubblica e Semaforici considerato nel calcolo (dal 2° al 10° anno)</v>
      </c>
      <c r="C14" s="23"/>
      <c r="D14" s="23"/>
      <c r="E14" s="23"/>
      <c r="F14" s="23"/>
      <c r="G14" s="23"/>
      <c r="H14" s="23"/>
      <c r="I14" s="23"/>
      <c r="J14" s="24"/>
      <c r="K14" s="22"/>
      <c r="L14" s="23"/>
      <c r="M14" s="23"/>
      <c r="N14" s="23"/>
      <c r="O14" s="23"/>
      <c r="P14" s="140" t="s">
        <v>94</v>
      </c>
      <c r="Q14" s="25" t="s">
        <v>5</v>
      </c>
      <c r="R14" s="26">
        <f>2832306+6307+1338921</f>
        <v>4177534</v>
      </c>
      <c r="S14" s="21" t="s">
        <v>96</v>
      </c>
      <c r="T14" s="21"/>
      <c r="U14" s="21"/>
    </row>
    <row r="15" spans="1:21">
      <c r="A15" s="14"/>
    </row>
    <row r="16" spans="1:21">
      <c r="A16" s="14"/>
      <c r="B16" s="11" t="s">
        <v>3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3"/>
      <c r="R16" s="12"/>
      <c r="S16" s="12"/>
      <c r="T16" s="12"/>
      <c r="U16" s="12"/>
    </row>
    <row r="17" spans="1:21" ht="18">
      <c r="A17" s="14" t="s">
        <v>26</v>
      </c>
      <c r="B17" s="15" t="s">
        <v>10</v>
      </c>
      <c r="C17" s="16"/>
      <c r="D17" s="16"/>
      <c r="E17" s="16"/>
      <c r="F17" s="16"/>
      <c r="G17" s="16"/>
      <c r="H17" s="16"/>
      <c r="I17" s="16"/>
      <c r="J17" s="16"/>
      <c r="K17" s="15"/>
      <c r="L17" s="16"/>
      <c r="M17" s="16"/>
      <c r="N17" s="16"/>
      <c r="O17" s="16"/>
      <c r="P17" s="17"/>
      <c r="Q17" s="18" t="s">
        <v>11</v>
      </c>
      <c r="R17" s="31">
        <v>0.18310000000000001</v>
      </c>
      <c r="S17" s="61"/>
      <c r="T17" s="62"/>
      <c r="U17" s="22"/>
    </row>
    <row r="18" spans="1:21" ht="18">
      <c r="A18" s="14" t="s">
        <v>27</v>
      </c>
      <c r="B18" s="20" t="s">
        <v>59</v>
      </c>
      <c r="C18" s="21"/>
      <c r="D18" s="21"/>
      <c r="E18" s="21"/>
      <c r="F18" s="21"/>
      <c r="G18" s="21"/>
      <c r="H18" s="21"/>
      <c r="I18" s="21"/>
      <c r="J18" s="21"/>
      <c r="K18" s="20"/>
      <c r="L18" s="21"/>
      <c r="M18" s="21"/>
      <c r="N18" s="21"/>
      <c r="O18" s="21"/>
      <c r="P18" s="35"/>
      <c r="Q18" s="36" t="s">
        <v>12</v>
      </c>
      <c r="R18" s="40">
        <v>15</v>
      </c>
      <c r="S18" s="89"/>
      <c r="T18" s="90"/>
      <c r="U18" s="27"/>
    </row>
    <row r="19" spans="1:21" ht="18">
      <c r="A19" s="14" t="s">
        <v>61</v>
      </c>
      <c r="B19" s="22" t="s">
        <v>60</v>
      </c>
      <c r="C19" s="23"/>
      <c r="D19" s="23"/>
      <c r="E19" s="23"/>
      <c r="F19" s="23"/>
      <c r="G19" s="23"/>
      <c r="H19" s="23"/>
      <c r="I19" s="23"/>
      <c r="J19" s="24"/>
      <c r="K19" s="22"/>
      <c r="L19" s="23"/>
      <c r="M19" s="23"/>
      <c r="N19" s="23"/>
      <c r="O19" s="23"/>
      <c r="P19" s="24"/>
      <c r="Q19" s="88" t="s">
        <v>102</v>
      </c>
      <c r="R19" s="54">
        <f>R18</f>
        <v>15</v>
      </c>
      <c r="S19" s="63"/>
      <c r="T19" s="64"/>
      <c r="U19" s="27"/>
    </row>
    <row r="21" spans="1:21">
      <c r="B21" s="11" t="s">
        <v>15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3"/>
      <c r="R21" s="12"/>
      <c r="S21" s="33"/>
      <c r="T21" s="33"/>
      <c r="U21" s="33"/>
    </row>
    <row r="22" spans="1:21" ht="18">
      <c r="A22" s="1" t="s">
        <v>33</v>
      </c>
      <c r="B22" s="15" t="s">
        <v>57</v>
      </c>
      <c r="C22" s="16"/>
      <c r="D22" s="16"/>
      <c r="E22" s="16"/>
      <c r="F22" s="16"/>
      <c r="G22" s="16"/>
      <c r="H22" s="16"/>
      <c r="I22" s="16"/>
      <c r="J22" s="16"/>
      <c r="K22" s="15" t="s">
        <v>98</v>
      </c>
      <c r="L22" s="16"/>
      <c r="M22" s="16"/>
      <c r="N22" s="16"/>
      <c r="O22" s="16"/>
      <c r="P22" s="17"/>
      <c r="Q22" s="18" t="s">
        <v>13</v>
      </c>
      <c r="R22" s="65">
        <f>R13*R17</f>
        <v>945463.21640000003</v>
      </c>
      <c r="S22" s="34" t="str">
        <f>IF(S17&lt;&gt;"",S17*R13,"")</f>
        <v/>
      </c>
      <c r="T22" s="21"/>
      <c r="U22" s="21"/>
    </row>
    <row r="23" spans="1:21" ht="18">
      <c r="A23" s="1" t="s">
        <v>28</v>
      </c>
      <c r="B23" s="20" t="str">
        <f>"Quota annua iniziale servizio di fornitura energia elettrica (dal 2° al "&amp;R10&amp;"° anno)"</f>
        <v>Quota annua iniziale servizio di fornitura energia elettrica (dal 2° al 10° anno)</v>
      </c>
      <c r="C23" s="21"/>
      <c r="D23" s="21"/>
      <c r="E23" s="21"/>
      <c r="F23" s="21"/>
      <c r="G23" s="21"/>
      <c r="H23" s="21"/>
      <c r="I23" s="21"/>
      <c r="J23" s="21"/>
      <c r="K23" s="20" t="s">
        <v>31</v>
      </c>
      <c r="L23" s="21"/>
      <c r="M23" s="21"/>
      <c r="N23" s="21"/>
      <c r="O23" s="21"/>
      <c r="P23" s="35"/>
      <c r="Q23" s="36" t="s">
        <v>13</v>
      </c>
      <c r="R23" s="37">
        <f>R14*R17</f>
        <v>764906.4754</v>
      </c>
      <c r="S23" s="38" t="str">
        <f>IF(S17&lt;&gt;"",S17*R14,"")</f>
        <v/>
      </c>
      <c r="T23" s="21"/>
      <c r="U23" s="21"/>
    </row>
    <row r="24" spans="1:21" ht="18">
      <c r="A24" s="1" t="s">
        <v>62</v>
      </c>
      <c r="B24" s="20" t="s">
        <v>64</v>
      </c>
      <c r="C24" s="21"/>
      <c r="D24" s="21"/>
      <c r="E24" s="21"/>
      <c r="F24" s="21"/>
      <c r="G24" s="21"/>
      <c r="H24" s="21"/>
      <c r="I24" s="21"/>
      <c r="J24" s="21"/>
      <c r="K24" s="20" t="s">
        <v>66</v>
      </c>
      <c r="L24" s="21"/>
      <c r="M24" s="21"/>
      <c r="N24" s="21"/>
      <c r="O24" s="21"/>
      <c r="P24" s="35"/>
      <c r="Q24" s="36" t="s">
        <v>13</v>
      </c>
      <c r="R24" s="141">
        <f>R8*R18</f>
        <v>116790</v>
      </c>
      <c r="S24" s="38" t="str">
        <f>IF(S18&lt;&gt;"",S18*R8,"")</f>
        <v/>
      </c>
      <c r="T24" s="21" t="s">
        <v>99</v>
      </c>
      <c r="U24" s="142"/>
    </row>
    <row r="25" spans="1:21" ht="18">
      <c r="A25" s="1" t="s">
        <v>63</v>
      </c>
      <c r="B25" s="20" t="s">
        <v>65</v>
      </c>
      <c r="C25" s="21"/>
      <c r="D25" s="21"/>
      <c r="E25" s="21"/>
      <c r="F25" s="21"/>
      <c r="G25" s="21"/>
      <c r="H25" s="21"/>
      <c r="I25" s="21"/>
      <c r="J25" s="21"/>
      <c r="K25" s="20" t="s">
        <v>67</v>
      </c>
      <c r="L25" s="21"/>
      <c r="M25" s="21"/>
      <c r="N25" s="21"/>
      <c r="O25" s="21"/>
      <c r="P25" s="35"/>
      <c r="Q25" s="36" t="s">
        <v>13</v>
      </c>
      <c r="R25" s="141">
        <f>R9*R19*3</f>
        <v>405</v>
      </c>
      <c r="S25" s="38" t="str">
        <f>IF(S19&lt;&gt;"",S19*R9*3,"")</f>
        <v/>
      </c>
      <c r="T25" s="21"/>
      <c r="U25" s="21"/>
    </row>
    <row r="26" spans="1:21" ht="18">
      <c r="A26" s="1" t="s">
        <v>70</v>
      </c>
      <c r="B26" s="20" t="str">
        <f>"Quota annua per servizio di riqualificazione energetica IP (in n."&amp;(R10-1)&amp;" rate costanti dal 2° al "&amp;R10&amp;"° anno)"</f>
        <v>Quota annua per servizio di riqualificazione energetica IP (in n.9 rate costanti dal 2° al 10° anno)</v>
      </c>
      <c r="C26" s="21"/>
      <c r="D26" s="21"/>
      <c r="E26" s="21"/>
      <c r="F26" s="21"/>
      <c r="G26" s="21"/>
      <c r="H26" s="21"/>
      <c r="I26" s="21"/>
      <c r="J26" s="21"/>
      <c r="K26" s="20"/>
      <c r="L26" s="21"/>
      <c r="M26" s="21"/>
      <c r="N26" s="21"/>
      <c r="O26" s="21"/>
      <c r="P26" s="35"/>
      <c r="Q26" s="36" t="s">
        <v>13</v>
      </c>
      <c r="R26" s="98">
        <f ca="1">G.2!C8</f>
        <v>219428.25184376436</v>
      </c>
      <c r="S26" s="38" t="str">
        <f ca="1">IF(G.2!C41&lt;&gt;0,G.2!C41,"")</f>
        <v/>
      </c>
      <c r="T26" s="62"/>
      <c r="U26" s="23"/>
    </row>
    <row r="27" spans="1:21" ht="18">
      <c r="A27" s="1" t="s">
        <v>71</v>
      </c>
      <c r="B27" s="20" t="str">
        <f>"Quota annua per servizio di riqualificazione energetica imp. Semaforici (in n."&amp;(R10-1)&amp;" rate costanti dal 2° al "&amp;R10&amp;"° anno)"</f>
        <v>Quota annua per servizio di riqualificazione energetica imp. Semaforici (in n.9 rate costanti dal 2° al 10° anno)</v>
      </c>
      <c r="C27" s="21"/>
      <c r="D27" s="21"/>
      <c r="E27" s="21"/>
      <c r="F27" s="21"/>
      <c r="G27" s="21"/>
      <c r="H27" s="21"/>
      <c r="I27" s="21"/>
      <c r="J27" s="21"/>
      <c r="K27" s="20"/>
      <c r="L27" s="21"/>
      <c r="M27" s="21"/>
      <c r="N27" s="21"/>
      <c r="O27" s="21"/>
      <c r="P27" s="35"/>
      <c r="Q27" s="36" t="s">
        <v>13</v>
      </c>
      <c r="R27" s="98">
        <f ca="1">G.2!C24</f>
        <v>6194.5901196021587</v>
      </c>
      <c r="S27" s="38" t="str">
        <f ca="1">IF(G.2!C58&lt;&gt;"",G.2!C57,"")</f>
        <v/>
      </c>
      <c r="T27" s="90"/>
      <c r="U27" s="23"/>
    </row>
    <row r="28" spans="1:21">
      <c r="A28" s="1" t="s">
        <v>40</v>
      </c>
      <c r="B28" s="41" t="str">
        <f>"Corrispettivo annuo Oneri per la Sicurezza (non soggetti a ribasso d'Asta) (in n."&amp;(R10-1)&amp;" rate costanti dal 2° al "&amp;R10&amp;"° anno)"</f>
        <v>Corrispettivo annuo Oneri per la Sicurezza (non soggetti a ribasso d'Asta) (in n.9 rate costanti dal 2° al 10° anno)</v>
      </c>
      <c r="C28" s="23"/>
      <c r="D28" s="23"/>
      <c r="E28" s="23"/>
      <c r="F28" s="23"/>
      <c r="G28" s="23"/>
      <c r="H28" s="23"/>
      <c r="I28" s="23"/>
      <c r="J28" s="23"/>
      <c r="K28" s="22"/>
      <c r="L28" s="23"/>
      <c r="M28" s="23"/>
      <c r="N28" s="23"/>
      <c r="O28" s="23"/>
      <c r="P28" s="24"/>
      <c r="Q28" s="25" t="s">
        <v>13</v>
      </c>
      <c r="R28" s="100">
        <v>10202.35</v>
      </c>
      <c r="S28" s="39">
        <f>R28</f>
        <v>10202.35</v>
      </c>
      <c r="T28" s="42" t="s">
        <v>100</v>
      </c>
      <c r="U28" s="27"/>
    </row>
    <row r="29" spans="1:21">
      <c r="B29" s="4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44" t="s">
        <v>34</v>
      </c>
      <c r="Q29" s="36"/>
      <c r="R29" s="45">
        <f>R22+R24+R25</f>
        <v>1062658.2164</v>
      </c>
      <c r="S29" s="45" t="str">
        <f>IF(S17&lt;&gt;"",S22+S24,"")</f>
        <v/>
      </c>
      <c r="T29" s="21"/>
      <c r="U29" s="21"/>
    </row>
    <row r="30" spans="1:21">
      <c r="B30" s="43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44" t="str">
        <f>"TOTALE annuo (dal 2° al "&amp;R10&amp;"° anno)"</f>
        <v>TOTALE annuo (dal 2° al 10° anno)</v>
      </c>
      <c r="Q30" s="36"/>
      <c r="R30" s="45">
        <f>R23+R24+R25+R26+R28</f>
        <v>1111732.0772437644</v>
      </c>
      <c r="S30" s="45" t="str">
        <f>IF(S17&lt;&gt;"",S23+S24+S26+S28,"")</f>
        <v/>
      </c>
      <c r="T30" s="21"/>
      <c r="U30" s="21"/>
    </row>
    <row r="31" spans="1:21">
      <c r="B31" s="43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44"/>
      <c r="Q31" s="36"/>
      <c r="R31" s="45"/>
      <c r="S31" s="46"/>
      <c r="T31" s="21"/>
      <c r="U31" s="21"/>
    </row>
    <row r="32" spans="1:21">
      <c r="B32" s="11" t="str">
        <f>"AMMONTARE D'APPALTO ("&amp;R10&amp;" ANNI) PER COMPONENTI PRINCIPALI"</f>
        <v>AMMONTARE D'APPALTO (10 ANNI) PER COMPONENTI PRINCIPALI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/>
      <c r="R32" s="12"/>
      <c r="S32" s="46"/>
      <c r="T32" s="21"/>
      <c r="U32" s="21"/>
    </row>
    <row r="33" spans="1:21" ht="18">
      <c r="A33" s="1" t="s">
        <v>35</v>
      </c>
      <c r="B33" s="47" t="s">
        <v>72</v>
      </c>
      <c r="C33" s="16"/>
      <c r="D33" s="16"/>
      <c r="E33" s="16"/>
      <c r="F33" s="16"/>
      <c r="G33" s="16"/>
      <c r="H33" s="16"/>
      <c r="I33" s="16"/>
      <c r="J33" s="16"/>
      <c r="K33" s="15" t="s">
        <v>36</v>
      </c>
      <c r="L33" s="16"/>
      <c r="M33" s="16"/>
      <c r="N33" s="16"/>
      <c r="O33" s="16"/>
      <c r="P33" s="48"/>
      <c r="Q33" s="18" t="s">
        <v>17</v>
      </c>
      <c r="R33" s="49">
        <f>R22+(R10-1)*R23</f>
        <v>7829621.4950000001</v>
      </c>
      <c r="S33" s="49" t="str">
        <f>IF(S17&lt;&gt;"",S22+(R10-1)*S23,"")</f>
        <v/>
      </c>
      <c r="T33" s="21"/>
      <c r="U33" s="21"/>
    </row>
    <row r="34" spans="1:21" ht="18">
      <c r="A34" s="1" t="s">
        <v>73</v>
      </c>
      <c r="B34" s="50" t="s">
        <v>75</v>
      </c>
      <c r="C34" s="21"/>
      <c r="D34" s="21"/>
      <c r="E34" s="21"/>
      <c r="F34" s="21"/>
      <c r="G34" s="21"/>
      <c r="H34" s="21"/>
      <c r="I34" s="21"/>
      <c r="J34" s="21"/>
      <c r="K34" s="20" t="s">
        <v>76</v>
      </c>
      <c r="L34" s="21"/>
      <c r="M34" s="21"/>
      <c r="N34" s="21"/>
      <c r="O34" s="21"/>
      <c r="P34" s="51"/>
      <c r="Q34" s="36" t="s">
        <v>17</v>
      </c>
      <c r="R34" s="52">
        <f>R10*R24</f>
        <v>1167900</v>
      </c>
      <c r="S34" s="52" t="str">
        <f>IF(S17&lt;&gt;"",R10*S24,"")</f>
        <v/>
      </c>
      <c r="T34" s="21"/>
      <c r="U34" s="21"/>
    </row>
    <row r="35" spans="1:21" ht="18">
      <c r="A35" s="1" t="s">
        <v>74</v>
      </c>
      <c r="B35" s="50" t="s">
        <v>78</v>
      </c>
      <c r="C35" s="21"/>
      <c r="D35" s="21"/>
      <c r="E35" s="21"/>
      <c r="F35" s="21"/>
      <c r="G35" s="21"/>
      <c r="H35" s="21"/>
      <c r="I35" s="21"/>
      <c r="J35" s="21"/>
      <c r="K35" s="20" t="s">
        <v>77</v>
      </c>
      <c r="L35" s="21"/>
      <c r="M35" s="21"/>
      <c r="N35" s="21"/>
      <c r="O35" s="21"/>
      <c r="P35" s="51"/>
      <c r="Q35" s="36" t="s">
        <v>17</v>
      </c>
      <c r="R35" s="52">
        <f>R10*R25</f>
        <v>4050</v>
      </c>
      <c r="S35" s="52" t="str">
        <f>IF(S19&lt;&gt;"",R10*S25,"")</f>
        <v/>
      </c>
      <c r="T35" s="21"/>
      <c r="U35" s="21"/>
    </row>
    <row r="36" spans="1:21" ht="18">
      <c r="A36" s="1" t="s">
        <v>79</v>
      </c>
      <c r="B36" s="50" t="s">
        <v>81</v>
      </c>
      <c r="C36" s="21"/>
      <c r="D36" s="21"/>
      <c r="E36" s="21"/>
      <c r="F36" s="21"/>
      <c r="G36" s="21"/>
      <c r="H36" s="21"/>
      <c r="I36" s="21"/>
      <c r="J36" s="21"/>
      <c r="K36" s="20" t="s">
        <v>83</v>
      </c>
      <c r="L36" s="21"/>
      <c r="M36" s="21"/>
      <c r="N36" s="21"/>
      <c r="O36" s="21"/>
      <c r="P36" s="51"/>
      <c r="Q36" s="36" t="s">
        <v>17</v>
      </c>
      <c r="R36" s="52">
        <f>(R10-1)*R26</f>
        <v>1974854.2665938793</v>
      </c>
      <c r="S36" s="52" t="str">
        <f>IF(S17&lt;&gt;"",(R10-1)*S26,"")</f>
        <v/>
      </c>
      <c r="T36" s="21"/>
      <c r="U36" s="21"/>
    </row>
    <row r="37" spans="1:21" ht="18">
      <c r="A37" s="1" t="s">
        <v>80</v>
      </c>
      <c r="B37" s="41" t="s">
        <v>82</v>
      </c>
      <c r="C37" s="23"/>
      <c r="D37" s="23"/>
      <c r="E37" s="23"/>
      <c r="F37" s="23"/>
      <c r="G37" s="23"/>
      <c r="H37" s="23"/>
      <c r="I37" s="23"/>
      <c r="J37" s="23"/>
      <c r="K37" s="22" t="s">
        <v>84</v>
      </c>
      <c r="L37" s="23"/>
      <c r="M37" s="23"/>
      <c r="N37" s="23"/>
      <c r="O37" s="23"/>
      <c r="P37" s="53"/>
      <c r="Q37" s="25" t="s">
        <v>17</v>
      </c>
      <c r="R37" s="54">
        <f>(R10-1)*R27</f>
        <v>55751.311076419428</v>
      </c>
      <c r="S37" s="103" t="str">
        <f>IF(S18&lt;&gt;"",(R10-1)*S27,"")</f>
        <v/>
      </c>
      <c r="T37" s="21"/>
      <c r="U37" s="21"/>
    </row>
    <row r="38" spans="1:21">
      <c r="B38" s="43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44"/>
      <c r="Q38" s="36"/>
      <c r="R38" s="45"/>
      <c r="S38" s="46"/>
      <c r="T38" s="21"/>
      <c r="U38" s="21"/>
    </row>
    <row r="39" spans="1:21">
      <c r="B39" s="11" t="str">
        <f>"AMMONTARE COMPLESSIVO DELL'APPALTO ("&amp;R10&amp;" ANNI)"</f>
        <v>AMMONTARE COMPLESSIVO DELL'APPALTO (10 ANNI)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3"/>
      <c r="R39" s="12"/>
    </row>
    <row r="40" spans="1:21" ht="18">
      <c r="A40" s="1" t="s">
        <v>29</v>
      </c>
      <c r="B40" s="27" t="s">
        <v>16</v>
      </c>
      <c r="C40" s="28"/>
      <c r="D40" s="28"/>
      <c r="E40" s="28"/>
      <c r="F40" s="28"/>
      <c r="G40" s="28"/>
      <c r="H40" s="28"/>
      <c r="I40" s="28"/>
      <c r="J40" s="28"/>
      <c r="K40" s="27" t="s">
        <v>37</v>
      </c>
      <c r="L40" s="28"/>
      <c r="M40" s="28"/>
      <c r="N40" s="28"/>
      <c r="O40" s="28"/>
      <c r="P40" s="29"/>
      <c r="Q40" s="30" t="s">
        <v>17</v>
      </c>
      <c r="R40" s="55">
        <f>SUM(R33:R37)</f>
        <v>11032177.0726703</v>
      </c>
      <c r="S40" s="55" t="str">
        <f>IF(S17&lt;&gt;"",SUM(S33:S37),"")</f>
        <v/>
      </c>
    </row>
    <row r="41" spans="1:21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36"/>
      <c r="R41" s="46"/>
    </row>
    <row r="42" spans="1:21">
      <c r="A42" s="1" t="s">
        <v>30</v>
      </c>
      <c r="B42" s="27" t="s">
        <v>38</v>
      </c>
      <c r="C42" s="28"/>
      <c r="D42" s="28"/>
      <c r="E42" s="28"/>
      <c r="F42" s="28"/>
      <c r="G42" s="28"/>
      <c r="H42" s="28"/>
      <c r="I42" s="28"/>
      <c r="J42" s="28"/>
      <c r="K42" s="27" t="s">
        <v>39</v>
      </c>
      <c r="L42" s="28"/>
      <c r="M42" s="28"/>
      <c r="N42" s="28"/>
      <c r="O42" s="28"/>
      <c r="P42" s="29"/>
      <c r="Q42" s="30" t="s">
        <v>17</v>
      </c>
      <c r="R42" s="32">
        <f>(R10-1)*R28</f>
        <v>91821.150000000009</v>
      </c>
      <c r="S42" s="32" t="str">
        <f>IF(S17&lt;&gt;"",(R10-1)*S28,"")</f>
        <v/>
      </c>
    </row>
    <row r="44" spans="1:21" ht="15.75">
      <c r="A44" s="14" t="s">
        <v>41</v>
      </c>
      <c r="B44" s="56" t="s">
        <v>42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8"/>
      <c r="R44" s="59"/>
      <c r="S44" s="144" t="str">
        <f>IF(S17&lt;&gt;"",(R40-S40)/R40,"")</f>
        <v/>
      </c>
      <c r="T44" s="60" t="str">
        <f>IF(S44="","",INT(S44*100)&amp;" virgola "&amp;CEILING((S44*100-INT(S44*100))*1000,0.01)&amp;" millesimi per cento")</f>
        <v/>
      </c>
      <c r="U44" s="23"/>
    </row>
    <row r="46" spans="1:21" ht="15.75">
      <c r="B46" s="136" t="s">
        <v>91</v>
      </c>
      <c r="D46" s="131"/>
      <c r="E46" s="132"/>
      <c r="F46" s="132"/>
      <c r="G46" s="133"/>
      <c r="H46" s="132"/>
      <c r="I46" s="132"/>
      <c r="J46" s="132"/>
    </row>
    <row r="47" spans="1:21" ht="15.75">
      <c r="A47" s="137"/>
      <c r="B47" s="135" t="s">
        <v>92</v>
      </c>
      <c r="C47" s="132"/>
      <c r="D47" s="132"/>
      <c r="E47" s="132"/>
      <c r="F47" s="132"/>
      <c r="G47" s="133"/>
      <c r="H47" s="132"/>
      <c r="I47" s="132"/>
      <c r="J47" s="132"/>
    </row>
    <row r="48" spans="1:21" ht="18.75" customHeight="1">
      <c r="B48" s="138" t="s">
        <v>93</v>
      </c>
      <c r="C48" s="134"/>
      <c r="D48" s="134"/>
      <c r="E48" s="134"/>
      <c r="F48" s="134"/>
      <c r="G48" s="134"/>
      <c r="H48" s="134"/>
      <c r="I48" s="134"/>
      <c r="J48" s="134"/>
    </row>
    <row r="49" spans="2:18">
      <c r="B49" s="21"/>
      <c r="C49" s="21"/>
      <c r="D49" s="21"/>
    </row>
    <row r="51" spans="2:18">
      <c r="P51" s="36" t="s">
        <v>52</v>
      </c>
      <c r="Q51" s="23"/>
      <c r="R51" s="23"/>
    </row>
    <row r="52" spans="2:18">
      <c r="Q52" s="2"/>
    </row>
    <row r="53" spans="2:18">
      <c r="P53" s="36" t="s">
        <v>53</v>
      </c>
      <c r="Q53" s="23"/>
      <c r="R53" s="23"/>
    </row>
    <row r="54" spans="2:18">
      <c r="P54" s="36"/>
      <c r="Q54" s="2"/>
    </row>
    <row r="55" spans="2:18">
      <c r="P55" s="36" t="s">
        <v>54</v>
      </c>
      <c r="Q55" s="23"/>
      <c r="R55" s="23"/>
    </row>
  </sheetData>
  <sheetProtection password="CCB2" sheet="1"/>
  <phoneticPr fontId="0" type="noConversion"/>
  <pageMargins left="0.70866141732283472" right="0.70866141732283472" top="0.74803149606299213" bottom="0.74803149606299213" header="0.31496062992125984" footer="0.31496062992125984"/>
  <pageSetup paperSize="8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7"/>
  <sheetViews>
    <sheetView showGridLines="0" view="pageBreakPreview" zoomScale="90" zoomScaleNormal="85" zoomScaleSheetLayoutView="90" workbookViewId="0">
      <selection activeCell="D16" sqref="D16"/>
    </sheetView>
  </sheetViews>
  <sheetFormatPr defaultRowHeight="15"/>
  <cols>
    <col min="1" max="1" width="9.7109375" style="66" customWidth="1"/>
    <col min="2" max="2" width="99.140625" style="66" customWidth="1"/>
    <col min="3" max="3" width="20" style="66" customWidth="1"/>
    <col min="4" max="4" width="35.7109375" style="66" customWidth="1"/>
    <col min="5" max="5" width="31.42578125" style="66" customWidth="1"/>
    <col min="6" max="6" width="17.140625" style="66" customWidth="1"/>
    <col min="7" max="7" width="12.42578125" style="66" customWidth="1"/>
    <col min="8" max="8" width="19.140625" style="66" customWidth="1"/>
    <col min="9" max="9" width="18.28515625" style="66" customWidth="1"/>
    <col min="10" max="10" width="18.42578125" style="66" customWidth="1"/>
    <col min="11" max="11" width="19.28515625" style="66" customWidth="1"/>
    <col min="12" max="16384" width="9.140625" style="66"/>
  </cols>
  <sheetData>
    <row r="1" spans="1:11" ht="18">
      <c r="D1" s="67" t="s">
        <v>49</v>
      </c>
      <c r="E1" s="67"/>
      <c r="F1" s="67"/>
    </row>
    <row r="2" spans="1:11">
      <c r="D2" s="67" t="s">
        <v>56</v>
      </c>
      <c r="E2" s="67"/>
      <c r="F2" s="67"/>
    </row>
    <row r="3" spans="1:11">
      <c r="J3" s="67"/>
    </row>
    <row r="4" spans="1:11">
      <c r="J4" s="67"/>
    </row>
    <row r="5" spans="1:11">
      <c r="G5" s="68" t="s">
        <v>85</v>
      </c>
      <c r="J5" s="67"/>
    </row>
    <row r="6" spans="1:11" ht="63" customHeight="1">
      <c r="G6" s="146" t="s">
        <v>45</v>
      </c>
      <c r="H6" s="146" t="s">
        <v>51</v>
      </c>
      <c r="I6" s="146" t="s">
        <v>46</v>
      </c>
      <c r="J6" s="146" t="s">
        <v>47</v>
      </c>
      <c r="K6" s="146" t="s">
        <v>55</v>
      </c>
    </row>
    <row r="7" spans="1:11">
      <c r="A7" s="5" t="s">
        <v>8</v>
      </c>
      <c r="B7" s="6" t="s">
        <v>9</v>
      </c>
      <c r="C7" s="69" t="s">
        <v>7</v>
      </c>
      <c r="D7" s="70"/>
      <c r="E7" s="70"/>
      <c r="F7" s="70"/>
      <c r="G7" s="146"/>
      <c r="H7" s="146"/>
      <c r="I7" s="146"/>
      <c r="J7" s="146"/>
      <c r="K7" s="146"/>
    </row>
    <row r="8" spans="1:11" ht="18">
      <c r="A8" s="1" t="s">
        <v>70</v>
      </c>
      <c r="B8" s="71" t="str">
        <f ca="1">G.1!B26</f>
        <v>Quota annua per servizio di riqualificazione energetica IP (in n.9 rate costanti dal 2° al 10° anno)</v>
      </c>
      <c r="C8" s="72">
        <f ca="1">H9</f>
        <v>219428.25184376436</v>
      </c>
      <c r="D8" s="73"/>
      <c r="E8" s="73"/>
      <c r="F8" s="73"/>
      <c r="G8" s="74">
        <v>1</v>
      </c>
      <c r="H8" s="74"/>
      <c r="I8" s="74"/>
      <c r="J8" s="74"/>
      <c r="K8" s="74"/>
    </row>
    <row r="9" spans="1:11">
      <c r="B9" s="75" t="s">
        <v>50</v>
      </c>
      <c r="C9" s="143">
        <f ca="1">(1318574.05-43066)*1.05+255000-((1318574.05-43066)*0.05+5000)</f>
        <v>1525508.05</v>
      </c>
      <c r="D9" s="145" t="s">
        <v>101</v>
      </c>
      <c r="E9" s="76"/>
      <c r="F9" s="76"/>
      <c r="G9" s="74">
        <v>2</v>
      </c>
      <c r="H9" s="77">
        <f>-PMT(C11, C10, C9)</f>
        <v>219428.25184376436</v>
      </c>
      <c r="I9" s="78">
        <f>H9-J9</f>
        <v>135525.30909376434</v>
      </c>
      <c r="J9" s="78">
        <f>C9*$C$11</f>
        <v>83902.942750000002</v>
      </c>
      <c r="K9" s="78">
        <f>C9-I9</f>
        <v>1389982.7409062358</v>
      </c>
    </row>
    <row r="10" spans="1:11">
      <c r="B10" s="75" t="s">
        <v>43</v>
      </c>
      <c r="C10" s="87">
        <f ca="1">G.1!R10-1</f>
        <v>9</v>
      </c>
      <c r="D10" s="79"/>
      <c r="E10" s="79"/>
      <c r="F10" s="79"/>
      <c r="G10" s="74">
        <v>3</v>
      </c>
      <c r="H10" s="77">
        <f>H9</f>
        <v>219428.25184376436</v>
      </c>
      <c r="I10" s="78">
        <f>H10-J10</f>
        <v>142979.20109392138</v>
      </c>
      <c r="J10" s="78">
        <f t="shared" ref="J10:J17" si="0">K9*$C$11</f>
        <v>76449.050749842965</v>
      </c>
      <c r="K10" s="78">
        <f>K9-I10</f>
        <v>1247003.5398123143</v>
      </c>
    </row>
    <row r="11" spans="1:11">
      <c r="B11" s="80" t="s">
        <v>44</v>
      </c>
      <c r="C11" s="96">
        <v>5.5E-2</v>
      </c>
      <c r="D11" s="81"/>
      <c r="E11" s="81"/>
      <c r="F11" s="81"/>
      <c r="G11" s="74">
        <v>4</v>
      </c>
      <c r="H11" s="77">
        <f t="shared" ref="H11:H17" si="1">H10</f>
        <v>219428.25184376436</v>
      </c>
      <c r="I11" s="78">
        <f t="shared" ref="I11:I17" si="2">H11-J11</f>
        <v>150843.05715408706</v>
      </c>
      <c r="J11" s="78">
        <f t="shared" si="0"/>
        <v>68585.194689677286</v>
      </c>
      <c r="K11" s="78">
        <f t="shared" ref="K11:K17" si="3">K10-I11</f>
        <v>1096160.4826582272</v>
      </c>
    </row>
    <row r="12" spans="1:11">
      <c r="G12" s="74">
        <v>5</v>
      </c>
      <c r="H12" s="77">
        <f t="shared" si="1"/>
        <v>219428.25184376436</v>
      </c>
      <c r="I12" s="78">
        <f t="shared" si="2"/>
        <v>159139.42529756186</v>
      </c>
      <c r="J12" s="78">
        <f t="shared" si="0"/>
        <v>60288.826546202494</v>
      </c>
      <c r="K12" s="78">
        <f t="shared" si="3"/>
        <v>937021.05736066541</v>
      </c>
    </row>
    <row r="13" spans="1:11">
      <c r="G13" s="74">
        <v>6</v>
      </c>
      <c r="H13" s="77">
        <f t="shared" si="1"/>
        <v>219428.25184376436</v>
      </c>
      <c r="I13" s="78">
        <f t="shared" si="2"/>
        <v>167892.09368892777</v>
      </c>
      <c r="J13" s="78">
        <f t="shared" si="0"/>
        <v>51536.158154836601</v>
      </c>
      <c r="K13" s="78">
        <f t="shared" si="3"/>
        <v>769128.96367173758</v>
      </c>
    </row>
    <row r="14" spans="1:11">
      <c r="G14" s="74">
        <v>7</v>
      </c>
      <c r="H14" s="77">
        <f t="shared" si="1"/>
        <v>219428.25184376436</v>
      </c>
      <c r="I14" s="78">
        <f t="shared" si="2"/>
        <v>177126.1588418188</v>
      </c>
      <c r="J14" s="78">
        <f t="shared" si="0"/>
        <v>42302.09300194557</v>
      </c>
      <c r="K14" s="78">
        <f t="shared" si="3"/>
        <v>592002.80482991878</v>
      </c>
    </row>
    <row r="15" spans="1:11">
      <c r="G15" s="74">
        <v>8</v>
      </c>
      <c r="H15" s="77">
        <f t="shared" si="1"/>
        <v>219428.25184376436</v>
      </c>
      <c r="I15" s="78">
        <f t="shared" si="2"/>
        <v>186868.09757811882</v>
      </c>
      <c r="J15" s="78">
        <f t="shared" si="0"/>
        <v>32560.154265645531</v>
      </c>
      <c r="K15" s="78">
        <f t="shared" si="3"/>
        <v>405134.70725179999</v>
      </c>
    </row>
    <row r="16" spans="1:11">
      <c r="G16" s="74">
        <v>9</v>
      </c>
      <c r="H16" s="77">
        <f t="shared" si="1"/>
        <v>219428.25184376436</v>
      </c>
      <c r="I16" s="78">
        <f t="shared" si="2"/>
        <v>197145.84294491535</v>
      </c>
      <c r="J16" s="78">
        <f t="shared" si="0"/>
        <v>22282.408898849</v>
      </c>
      <c r="K16" s="78">
        <f t="shared" si="3"/>
        <v>207988.86430688464</v>
      </c>
    </row>
    <row r="17" spans="1:11">
      <c r="G17" s="74">
        <v>10</v>
      </c>
      <c r="H17" s="77">
        <f t="shared" si="1"/>
        <v>219428.25184376436</v>
      </c>
      <c r="I17" s="78">
        <f t="shared" si="2"/>
        <v>207988.86430688569</v>
      </c>
      <c r="J17" s="78">
        <f t="shared" si="0"/>
        <v>11439.387536878656</v>
      </c>
      <c r="K17" s="78">
        <f t="shared" si="3"/>
        <v>-1.0477378964424133E-9</v>
      </c>
    </row>
    <row r="18" spans="1:11">
      <c r="H18" s="82">
        <f>SUM(H9:H17)</f>
        <v>1974854.2665938796</v>
      </c>
      <c r="I18" s="82">
        <f>SUM(I9:I17)</f>
        <v>1525508.0500000012</v>
      </c>
      <c r="J18" s="82">
        <f>SUM(J9:J17)</f>
        <v>449346.21659387811</v>
      </c>
      <c r="K18" s="83"/>
    </row>
    <row r="19" spans="1:11">
      <c r="H19" s="82"/>
      <c r="I19" s="82"/>
      <c r="J19" s="82"/>
      <c r="K19" s="83"/>
    </row>
    <row r="20" spans="1:11">
      <c r="H20" s="82"/>
      <c r="I20" s="82"/>
      <c r="J20" s="82"/>
      <c r="K20" s="83"/>
    </row>
    <row r="21" spans="1:11">
      <c r="G21" s="68" t="s">
        <v>86</v>
      </c>
    </row>
    <row r="22" spans="1:11" ht="48" customHeight="1">
      <c r="G22" s="146" t="s">
        <v>45</v>
      </c>
      <c r="H22" s="146" t="s">
        <v>51</v>
      </c>
      <c r="I22" s="146" t="s">
        <v>46</v>
      </c>
      <c r="J22" s="146" t="s">
        <v>47</v>
      </c>
      <c r="K22" s="146" t="s">
        <v>55</v>
      </c>
    </row>
    <row r="23" spans="1:11">
      <c r="A23" s="5" t="s">
        <v>8</v>
      </c>
      <c r="B23" s="6" t="s">
        <v>9</v>
      </c>
      <c r="C23" s="69" t="s">
        <v>7</v>
      </c>
      <c r="D23" s="99"/>
      <c r="E23" s="85"/>
      <c r="F23" s="85"/>
      <c r="G23" s="146"/>
      <c r="H23" s="146"/>
      <c r="I23" s="146"/>
      <c r="J23" s="146"/>
      <c r="K23" s="146"/>
    </row>
    <row r="24" spans="1:11" ht="18" customHeight="1">
      <c r="A24" s="1" t="s">
        <v>71</v>
      </c>
      <c r="B24" s="97" t="str">
        <f ca="1">G.1!B27</f>
        <v>Quota annua per servizio di riqualificazione energetica imp. Semaforici (in n.9 rate costanti dal 2° al 10° anno)</v>
      </c>
      <c r="C24" s="104">
        <f>IF(C25&lt;&gt;"",H25,"")</f>
        <v>6194.5901196021587</v>
      </c>
      <c r="D24" s="105"/>
      <c r="E24" s="43"/>
      <c r="F24" s="21"/>
      <c r="G24" s="74">
        <v>1</v>
      </c>
      <c r="H24" s="74"/>
      <c r="I24" s="74"/>
      <c r="J24" s="74"/>
      <c r="K24" s="74"/>
    </row>
    <row r="25" spans="1:11">
      <c r="B25" s="75" t="s">
        <v>50</v>
      </c>
      <c r="C25" s="95">
        <v>43066</v>
      </c>
      <c r="D25" s="105"/>
      <c r="E25" s="43"/>
      <c r="G25" s="74">
        <v>2</v>
      </c>
      <c r="H25" s="86">
        <f>-PMT(C27, C26, C25)</f>
        <v>6194.5901196021587</v>
      </c>
      <c r="I25" s="78">
        <f>H25-J25</f>
        <v>3825.9601196021586</v>
      </c>
      <c r="J25" s="78">
        <f>C27*C25</f>
        <v>2368.63</v>
      </c>
      <c r="K25" s="78">
        <f>C25-I25</f>
        <v>39240.039880397839</v>
      </c>
    </row>
    <row r="26" spans="1:11">
      <c r="B26" s="75" t="s">
        <v>43</v>
      </c>
      <c r="C26" s="87">
        <f>C10</f>
        <v>9</v>
      </c>
      <c r="G26" s="74">
        <v>3</v>
      </c>
      <c r="H26" s="77">
        <f>H25</f>
        <v>6194.5901196021587</v>
      </c>
      <c r="I26" s="78">
        <f>H26-J26</f>
        <v>4036.3879261802776</v>
      </c>
      <c r="J26" s="78">
        <f>K25*$C$27</f>
        <v>2158.202193421881</v>
      </c>
      <c r="K26" s="78">
        <f>K25-I26</f>
        <v>35203.651954217559</v>
      </c>
    </row>
    <row r="27" spans="1:11">
      <c r="B27" s="80" t="s">
        <v>44</v>
      </c>
      <c r="C27" s="106">
        <f>C11</f>
        <v>5.5E-2</v>
      </c>
      <c r="G27" s="74">
        <v>4</v>
      </c>
      <c r="H27" s="77">
        <f t="shared" ref="H27:H33" si="4">H26</f>
        <v>6194.5901196021587</v>
      </c>
      <c r="I27" s="78">
        <f t="shared" ref="I27:I33" si="5">H27-J27</f>
        <v>4258.3892621201931</v>
      </c>
      <c r="J27" s="78">
        <f t="shared" ref="J27:J33" si="6">K26*$C$27</f>
        <v>1936.2008574819658</v>
      </c>
      <c r="K27" s="78">
        <f t="shared" ref="K27:K33" si="7">K26-I27</f>
        <v>30945.262692097367</v>
      </c>
    </row>
    <row r="28" spans="1:11">
      <c r="G28" s="74">
        <v>5</v>
      </c>
      <c r="H28" s="77">
        <f t="shared" si="4"/>
        <v>6194.5901196021587</v>
      </c>
      <c r="I28" s="78">
        <f t="shared" si="5"/>
        <v>4492.6006715368039</v>
      </c>
      <c r="J28" s="78">
        <f t="shared" si="6"/>
        <v>1701.9894480653552</v>
      </c>
      <c r="K28" s="78">
        <f t="shared" si="7"/>
        <v>26452.662020560565</v>
      </c>
    </row>
    <row r="29" spans="1:11">
      <c r="G29" s="74">
        <v>6</v>
      </c>
      <c r="H29" s="77">
        <f t="shared" si="4"/>
        <v>6194.5901196021587</v>
      </c>
      <c r="I29" s="78">
        <f t="shared" si="5"/>
        <v>4739.6937084713281</v>
      </c>
      <c r="J29" s="78">
        <f t="shared" si="6"/>
        <v>1454.896411130831</v>
      </c>
      <c r="K29" s="78">
        <f t="shared" si="7"/>
        <v>21712.968312089237</v>
      </c>
    </row>
    <row r="30" spans="1:11">
      <c r="G30" s="74">
        <v>7</v>
      </c>
      <c r="H30" s="77">
        <f t="shared" si="4"/>
        <v>6194.5901196021587</v>
      </c>
      <c r="I30" s="78">
        <f t="shared" si="5"/>
        <v>5000.3768624372506</v>
      </c>
      <c r="J30" s="78">
        <f t="shared" si="6"/>
        <v>1194.2132571649081</v>
      </c>
      <c r="K30" s="78">
        <f t="shared" si="7"/>
        <v>16712.591449651987</v>
      </c>
    </row>
    <row r="31" spans="1:11">
      <c r="G31" s="74">
        <v>8</v>
      </c>
      <c r="H31" s="77">
        <f t="shared" si="4"/>
        <v>6194.5901196021587</v>
      </c>
      <c r="I31" s="78">
        <f t="shared" si="5"/>
        <v>5275.3975898712997</v>
      </c>
      <c r="J31" s="78">
        <f t="shared" si="6"/>
        <v>919.19252973085929</v>
      </c>
      <c r="K31" s="78">
        <f t="shared" si="7"/>
        <v>11437.193859780687</v>
      </c>
    </row>
    <row r="32" spans="1:11">
      <c r="G32" s="74">
        <v>9</v>
      </c>
      <c r="H32" s="77">
        <f t="shared" si="4"/>
        <v>6194.5901196021587</v>
      </c>
      <c r="I32" s="78">
        <f t="shared" si="5"/>
        <v>5565.5444573142213</v>
      </c>
      <c r="J32" s="78">
        <f t="shared" si="6"/>
        <v>629.04566228793783</v>
      </c>
      <c r="K32" s="78">
        <f t="shared" si="7"/>
        <v>5871.6494024664662</v>
      </c>
    </row>
    <row r="33" spans="1:11">
      <c r="G33" s="74">
        <v>10</v>
      </c>
      <c r="H33" s="77">
        <f t="shared" si="4"/>
        <v>6194.5901196021587</v>
      </c>
      <c r="I33" s="78">
        <f t="shared" si="5"/>
        <v>5871.6494024665026</v>
      </c>
      <c r="J33" s="78">
        <f t="shared" si="6"/>
        <v>322.94071713565563</v>
      </c>
      <c r="K33" s="78">
        <f t="shared" si="7"/>
        <v>-3.637978807091713E-11</v>
      </c>
    </row>
    <row r="34" spans="1:11">
      <c r="H34" s="82">
        <f>SUM(H25:H33)</f>
        <v>55751.311076419428</v>
      </c>
      <c r="I34" s="82">
        <f>SUM(I25:I33)</f>
        <v>43066.000000000036</v>
      </c>
      <c r="J34" s="82">
        <f>SUM(J25:J33)</f>
        <v>12685.311076419392</v>
      </c>
      <c r="K34" s="83"/>
    </row>
    <row r="38" spans="1:11">
      <c r="G38" s="107" t="s">
        <v>89</v>
      </c>
      <c r="H38" s="108"/>
      <c r="I38" s="108"/>
      <c r="J38" s="108"/>
      <c r="K38" s="108"/>
    </row>
    <row r="39" spans="1:11" ht="45.75" customHeight="1">
      <c r="G39" s="147" t="s">
        <v>45</v>
      </c>
      <c r="H39" s="147" t="s">
        <v>87</v>
      </c>
      <c r="I39" s="147" t="s">
        <v>46</v>
      </c>
      <c r="J39" s="147" t="s">
        <v>47</v>
      </c>
      <c r="K39" s="147" t="s">
        <v>88</v>
      </c>
    </row>
    <row r="40" spans="1:11">
      <c r="A40" s="109" t="s">
        <v>8</v>
      </c>
      <c r="B40" s="110" t="s">
        <v>9</v>
      </c>
      <c r="C40" s="84" t="s">
        <v>21</v>
      </c>
      <c r="D40" s="111" t="s">
        <v>22</v>
      </c>
      <c r="E40" s="112" t="s">
        <v>23</v>
      </c>
      <c r="G40" s="148"/>
      <c r="H40" s="148"/>
      <c r="I40" s="148"/>
      <c r="J40" s="148"/>
      <c r="K40" s="148"/>
    </row>
    <row r="41" spans="1:11" ht="18">
      <c r="A41" s="1" t="s">
        <v>70</v>
      </c>
      <c r="B41" s="113" t="str">
        <f>B8</f>
        <v>Quota annua per servizio di riqualificazione energetica IP (in n.9 rate costanti dal 2° al 10° anno)</v>
      </c>
      <c r="C41" s="114">
        <f>-PMT($C$44,C43,$C$42)</f>
        <v>0</v>
      </c>
      <c r="D41" s="115"/>
      <c r="E41" s="116"/>
      <c r="G41" s="117">
        <v>1</v>
      </c>
      <c r="H41" s="117"/>
      <c r="I41" s="117"/>
      <c r="J41" s="117"/>
      <c r="K41" s="117"/>
    </row>
    <row r="42" spans="1:11">
      <c r="B42" s="118" t="s">
        <v>50</v>
      </c>
      <c r="C42" s="102"/>
      <c r="D42" s="93"/>
      <c r="E42" s="119"/>
      <c r="G42" s="117">
        <v>2</v>
      </c>
      <c r="H42" s="120">
        <f>C41</f>
        <v>0</v>
      </c>
      <c r="I42" s="121">
        <f t="shared" ref="I42:I50" si="8">H42-J42</f>
        <v>0</v>
      </c>
      <c r="J42" s="121">
        <f>C44*C42</f>
        <v>0</v>
      </c>
      <c r="K42" s="121">
        <f>C42-I42</f>
        <v>0</v>
      </c>
    </row>
    <row r="43" spans="1:11">
      <c r="B43" s="122" t="s">
        <v>43</v>
      </c>
      <c r="C43" s="87">
        <f>C10</f>
        <v>9</v>
      </c>
      <c r="D43" s="123"/>
      <c r="E43" s="124"/>
      <c r="G43" s="117">
        <v>3</v>
      </c>
      <c r="H43" s="125">
        <f>H42</f>
        <v>0</v>
      </c>
      <c r="I43" s="121">
        <f t="shared" si="8"/>
        <v>0</v>
      </c>
      <c r="J43" s="121">
        <f>K42*$C$44</f>
        <v>0</v>
      </c>
      <c r="K43" s="121">
        <f>K42-I43</f>
        <v>0</v>
      </c>
    </row>
    <row r="44" spans="1:11">
      <c r="B44" s="126" t="s">
        <v>44</v>
      </c>
      <c r="C44" s="101"/>
      <c r="D44" s="94"/>
      <c r="E44" s="127"/>
      <c r="G44" s="117">
        <v>4</v>
      </c>
      <c r="H44" s="125">
        <f t="shared" ref="H44:H50" si="9">H43</f>
        <v>0</v>
      </c>
      <c r="I44" s="121">
        <f t="shared" si="8"/>
        <v>0</v>
      </c>
      <c r="J44" s="121">
        <f t="shared" ref="J44:J50" si="10">K43*$C$44</f>
        <v>0</v>
      </c>
      <c r="K44" s="121">
        <f>K43-I44</f>
        <v>0</v>
      </c>
    </row>
    <row r="45" spans="1:11">
      <c r="G45" s="117">
        <v>5</v>
      </c>
      <c r="H45" s="125">
        <f t="shared" si="9"/>
        <v>0</v>
      </c>
      <c r="I45" s="121">
        <f t="shared" si="8"/>
        <v>0</v>
      </c>
      <c r="J45" s="121">
        <f t="shared" si="10"/>
        <v>0</v>
      </c>
      <c r="K45" s="121">
        <f t="shared" ref="K45:K50" si="11">K44-I45</f>
        <v>0</v>
      </c>
    </row>
    <row r="46" spans="1:11">
      <c r="G46" s="117">
        <v>6</v>
      </c>
      <c r="H46" s="125">
        <f t="shared" si="9"/>
        <v>0</v>
      </c>
      <c r="I46" s="121">
        <f t="shared" si="8"/>
        <v>0</v>
      </c>
      <c r="J46" s="121">
        <f t="shared" si="10"/>
        <v>0</v>
      </c>
      <c r="K46" s="121">
        <f t="shared" si="11"/>
        <v>0</v>
      </c>
    </row>
    <row r="47" spans="1:11">
      <c r="G47" s="117">
        <v>7</v>
      </c>
      <c r="H47" s="125">
        <f t="shared" si="9"/>
        <v>0</v>
      </c>
      <c r="I47" s="121">
        <f t="shared" si="8"/>
        <v>0</v>
      </c>
      <c r="J47" s="121">
        <f t="shared" si="10"/>
        <v>0</v>
      </c>
      <c r="K47" s="121">
        <f t="shared" si="11"/>
        <v>0</v>
      </c>
    </row>
    <row r="48" spans="1:11">
      <c r="G48" s="117">
        <v>8</v>
      </c>
      <c r="H48" s="125">
        <f t="shared" si="9"/>
        <v>0</v>
      </c>
      <c r="I48" s="121">
        <f t="shared" si="8"/>
        <v>0</v>
      </c>
      <c r="J48" s="121">
        <f t="shared" si="10"/>
        <v>0</v>
      </c>
      <c r="K48" s="121">
        <f t="shared" si="11"/>
        <v>0</v>
      </c>
    </row>
    <row r="49" spans="1:11">
      <c r="G49" s="117">
        <v>9</v>
      </c>
      <c r="H49" s="125">
        <f t="shared" si="9"/>
        <v>0</v>
      </c>
      <c r="I49" s="121">
        <f t="shared" si="8"/>
        <v>0</v>
      </c>
      <c r="J49" s="121">
        <f t="shared" si="10"/>
        <v>0</v>
      </c>
      <c r="K49" s="121">
        <f t="shared" si="11"/>
        <v>0</v>
      </c>
    </row>
    <row r="50" spans="1:11">
      <c r="G50" s="117">
        <v>10</v>
      </c>
      <c r="H50" s="125">
        <f t="shared" si="9"/>
        <v>0</v>
      </c>
      <c r="I50" s="121">
        <f t="shared" si="8"/>
        <v>0</v>
      </c>
      <c r="J50" s="121">
        <f t="shared" si="10"/>
        <v>0</v>
      </c>
      <c r="K50" s="121">
        <f t="shared" si="11"/>
        <v>0</v>
      </c>
    </row>
    <row r="51" spans="1:11">
      <c r="G51" s="108"/>
      <c r="H51" s="128">
        <f>SUM(H42:H50)</f>
        <v>0</v>
      </c>
      <c r="I51" s="128">
        <f>SUM(I42:I50)</f>
        <v>0</v>
      </c>
      <c r="J51" s="128">
        <f>SUM(J42:J50)</f>
        <v>0</v>
      </c>
      <c r="K51" s="129"/>
    </row>
    <row r="54" spans="1:11">
      <c r="G54" s="107" t="s">
        <v>90</v>
      </c>
    </row>
    <row r="55" spans="1:11">
      <c r="G55" s="147" t="s">
        <v>45</v>
      </c>
      <c r="H55" s="147" t="s">
        <v>87</v>
      </c>
      <c r="I55" s="147" t="s">
        <v>46</v>
      </c>
      <c r="J55" s="147" t="s">
        <v>47</v>
      </c>
      <c r="K55" s="147" t="s">
        <v>88</v>
      </c>
    </row>
    <row r="56" spans="1:11">
      <c r="A56" s="109" t="s">
        <v>8</v>
      </c>
      <c r="B56" s="110" t="s">
        <v>9</v>
      </c>
      <c r="C56" s="84" t="s">
        <v>21</v>
      </c>
      <c r="D56" s="111" t="s">
        <v>22</v>
      </c>
      <c r="E56" s="112" t="s">
        <v>23</v>
      </c>
      <c r="G56" s="148"/>
      <c r="H56" s="148"/>
      <c r="I56" s="148"/>
      <c r="J56" s="148"/>
      <c r="K56" s="148"/>
    </row>
    <row r="57" spans="1:11" ht="18">
      <c r="A57" s="1" t="s">
        <v>71</v>
      </c>
      <c r="B57" s="113" t="str">
        <f>B24</f>
        <v>Quota annua per servizio di riqualificazione energetica imp. Semaforici (in n.9 rate costanti dal 2° al 10° anno)</v>
      </c>
      <c r="C57" s="130">
        <f>-PMT($C$60,C59,$C$58)</f>
        <v>0</v>
      </c>
      <c r="D57" s="115"/>
      <c r="E57" s="116"/>
      <c r="G57" s="117">
        <v>1</v>
      </c>
      <c r="H57" s="117"/>
      <c r="I57" s="117"/>
      <c r="J57" s="117"/>
      <c r="K57" s="117"/>
    </row>
    <row r="58" spans="1:11">
      <c r="B58" s="118" t="s">
        <v>50</v>
      </c>
      <c r="C58" s="102"/>
      <c r="D58" s="93"/>
      <c r="E58" s="119"/>
      <c r="G58" s="117">
        <v>2</v>
      </c>
      <c r="H58" s="120">
        <f>C57</f>
        <v>0</v>
      </c>
      <c r="I58" s="121">
        <f t="shared" ref="I58:I66" si="12">H58-J58</f>
        <v>0</v>
      </c>
      <c r="J58" s="121">
        <f>C60*C58</f>
        <v>0</v>
      </c>
      <c r="K58" s="121">
        <f>C58-I58</f>
        <v>0</v>
      </c>
    </row>
    <row r="59" spans="1:11">
      <c r="B59" s="122" t="s">
        <v>43</v>
      </c>
      <c r="C59" s="87">
        <f>C26</f>
        <v>9</v>
      </c>
      <c r="D59" s="123"/>
      <c r="E59" s="124"/>
      <c r="G59" s="117">
        <v>3</v>
      </c>
      <c r="H59" s="125">
        <f>H58</f>
        <v>0</v>
      </c>
      <c r="I59" s="121">
        <f t="shared" si="12"/>
        <v>0</v>
      </c>
      <c r="J59" s="121">
        <f>K58*$C$44</f>
        <v>0</v>
      </c>
      <c r="K59" s="121">
        <f>K58-I59</f>
        <v>0</v>
      </c>
    </row>
    <row r="60" spans="1:11">
      <c r="B60" s="126" t="s">
        <v>44</v>
      </c>
      <c r="C60" s="101"/>
      <c r="D60" s="94"/>
      <c r="E60" s="127"/>
      <c r="G60" s="117">
        <v>4</v>
      </c>
      <c r="H60" s="125">
        <f t="shared" ref="H60:H66" si="13">H59</f>
        <v>0</v>
      </c>
      <c r="I60" s="121">
        <f t="shared" si="12"/>
        <v>0</v>
      </c>
      <c r="J60" s="121">
        <f t="shared" ref="J60:J66" si="14">K59*$C$44</f>
        <v>0</v>
      </c>
      <c r="K60" s="121">
        <f>K59-I60</f>
        <v>0</v>
      </c>
    </row>
    <row r="61" spans="1:11">
      <c r="G61" s="117">
        <v>5</v>
      </c>
      <c r="H61" s="125">
        <f t="shared" si="13"/>
        <v>0</v>
      </c>
      <c r="I61" s="121">
        <f t="shared" si="12"/>
        <v>0</v>
      </c>
      <c r="J61" s="121">
        <f t="shared" si="14"/>
        <v>0</v>
      </c>
      <c r="K61" s="121">
        <f t="shared" ref="K61:K66" si="15">K60-I61</f>
        <v>0</v>
      </c>
    </row>
    <row r="62" spans="1:11">
      <c r="G62" s="117">
        <v>6</v>
      </c>
      <c r="H62" s="125">
        <f t="shared" si="13"/>
        <v>0</v>
      </c>
      <c r="I62" s="121">
        <f t="shared" si="12"/>
        <v>0</v>
      </c>
      <c r="J62" s="121">
        <f t="shared" si="14"/>
        <v>0</v>
      </c>
      <c r="K62" s="121">
        <f t="shared" si="15"/>
        <v>0</v>
      </c>
    </row>
    <row r="63" spans="1:11">
      <c r="G63" s="117">
        <v>7</v>
      </c>
      <c r="H63" s="125">
        <f t="shared" si="13"/>
        <v>0</v>
      </c>
      <c r="I63" s="121">
        <f t="shared" si="12"/>
        <v>0</v>
      </c>
      <c r="J63" s="121">
        <f t="shared" si="14"/>
        <v>0</v>
      </c>
      <c r="K63" s="121">
        <f t="shared" si="15"/>
        <v>0</v>
      </c>
    </row>
    <row r="64" spans="1:11">
      <c r="G64" s="117">
        <v>8</v>
      </c>
      <c r="H64" s="125">
        <f t="shared" si="13"/>
        <v>0</v>
      </c>
      <c r="I64" s="121">
        <f t="shared" si="12"/>
        <v>0</v>
      </c>
      <c r="J64" s="121">
        <f t="shared" si="14"/>
        <v>0</v>
      </c>
      <c r="K64" s="121">
        <f t="shared" si="15"/>
        <v>0</v>
      </c>
    </row>
    <row r="65" spans="7:12">
      <c r="G65" s="117">
        <v>9</v>
      </c>
      <c r="H65" s="125">
        <f t="shared" si="13"/>
        <v>0</v>
      </c>
      <c r="I65" s="121">
        <f t="shared" si="12"/>
        <v>0</v>
      </c>
      <c r="J65" s="121">
        <f t="shared" si="14"/>
        <v>0</v>
      </c>
      <c r="K65" s="121">
        <f t="shared" si="15"/>
        <v>0</v>
      </c>
    </row>
    <row r="66" spans="7:12">
      <c r="G66" s="117">
        <v>10</v>
      </c>
      <c r="H66" s="125">
        <f t="shared" si="13"/>
        <v>0</v>
      </c>
      <c r="I66" s="121">
        <f t="shared" si="12"/>
        <v>0</v>
      </c>
      <c r="J66" s="121">
        <f t="shared" si="14"/>
        <v>0</v>
      </c>
      <c r="K66" s="121">
        <f t="shared" si="15"/>
        <v>0</v>
      </c>
    </row>
    <row r="67" spans="7:12">
      <c r="G67" s="108"/>
      <c r="H67" s="128">
        <f>SUM(H58:H66)</f>
        <v>0</v>
      </c>
      <c r="I67" s="128">
        <f>SUM(I58:I66)</f>
        <v>0</v>
      </c>
      <c r="J67" s="128">
        <f>SUM(J58:J66)</f>
        <v>0</v>
      </c>
      <c r="K67" s="129"/>
      <c r="L67" s="79"/>
    </row>
  </sheetData>
  <sheetProtection password="CCB2" sheet="1"/>
  <mergeCells count="20">
    <mergeCell ref="K55:K56"/>
    <mergeCell ref="G39:G40"/>
    <mergeCell ref="H39:H40"/>
    <mergeCell ref="I39:I40"/>
    <mergeCell ref="J39:J40"/>
    <mergeCell ref="K39:K40"/>
    <mergeCell ref="G55:G56"/>
    <mergeCell ref="H55:H56"/>
    <mergeCell ref="I55:I56"/>
    <mergeCell ref="J55:J56"/>
    <mergeCell ref="K6:K7"/>
    <mergeCell ref="G22:G23"/>
    <mergeCell ref="H22:H23"/>
    <mergeCell ref="I22:I23"/>
    <mergeCell ref="J22:J23"/>
    <mergeCell ref="K22:K23"/>
    <mergeCell ref="G6:G7"/>
    <mergeCell ref="H6:H7"/>
    <mergeCell ref="I6:I7"/>
    <mergeCell ref="J6:J7"/>
  </mergeCells>
  <phoneticPr fontId="0" type="noConversion"/>
  <pageMargins left="0.74803149606299213" right="0.74803149606299213" top="0.98425196850393704" bottom="0.98425196850393704" header="0.51181102362204722" footer="0.51181102362204722"/>
  <pageSetup paperSize="8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G.1</vt:lpstr>
      <vt:lpstr>G.2</vt:lpstr>
      <vt:lpstr>G.1!Area_stampa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AESS</dc:creator>
  <cp:lastModifiedBy>s_ferrari</cp:lastModifiedBy>
  <cp:lastPrinted>2014-07-04T09:06:20Z</cp:lastPrinted>
  <dcterms:created xsi:type="dcterms:W3CDTF">2013-01-10T09:46:16Z</dcterms:created>
  <dcterms:modified xsi:type="dcterms:W3CDTF">2015-07-21T10:36:06Z</dcterms:modified>
</cp:coreProperties>
</file>